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Suzdaleva\ПО и цены на сайт (население)\Информация для раскрытия_2020-2024\"/>
    </mc:Choice>
  </mc:AlternateContent>
  <xr:revisionPtr revIDLastSave="0" documentId="8_{91193AFD-E980-433C-9FEF-B420E191AFDE}" xr6:coauthVersionLast="36" xr6:coauthVersionMax="36" xr10:uidLastSave="{00000000-0000-0000-0000-000000000000}"/>
  <bookViews>
    <workbookView xWindow="0" yWindow="0" windowWidth="13530" windowHeight="10905" tabRatio="883" firstSheet="32" activeTab="52" xr2:uid="{00000000-000D-0000-FFFF-FFFF00000000}"/>
  </bookViews>
  <sheets>
    <sheet name="01.2020" sheetId="71" r:id="rId1"/>
    <sheet name="02.2020" sheetId="72" r:id="rId2"/>
    <sheet name="03.2020" sheetId="73" r:id="rId3"/>
    <sheet name="04.2020" sheetId="74" r:id="rId4"/>
    <sheet name="05.2020" sheetId="75" r:id="rId5"/>
    <sheet name="06.2020" sheetId="76" r:id="rId6"/>
    <sheet name="07.2020" sheetId="77" r:id="rId7"/>
    <sheet name="08.2020" sheetId="79" r:id="rId8"/>
    <sheet name="09.2020" sheetId="80" r:id="rId9"/>
    <sheet name="10.2020" sheetId="81" r:id="rId10"/>
    <sheet name="11.2020" sheetId="82" r:id="rId11"/>
    <sheet name="12.2020" sheetId="83" r:id="rId12"/>
    <sheet name="01.2021" sheetId="84" r:id="rId13"/>
    <sheet name="02.2021" sheetId="85" r:id="rId14"/>
    <sheet name="03.2021" sheetId="86" r:id="rId15"/>
    <sheet name="04.2021" sheetId="87" r:id="rId16"/>
    <sheet name="05.2021" sheetId="88" r:id="rId17"/>
    <sheet name="06.2021" sheetId="89" r:id="rId18"/>
    <sheet name="07.2021" sheetId="90" r:id="rId19"/>
    <sheet name="08.2021" sheetId="91" r:id="rId20"/>
    <sheet name="09.2021" sheetId="92" r:id="rId21"/>
    <sheet name="10.2021" sheetId="93" r:id="rId22"/>
    <sheet name="11.2021" sheetId="94" r:id="rId23"/>
    <sheet name="12.2021" sheetId="95" r:id="rId24"/>
    <sheet name="01.2022" sheetId="96" r:id="rId25"/>
    <sheet name="02.2022" sheetId="97" r:id="rId26"/>
    <sheet name="03.2022" sheetId="98" r:id="rId27"/>
    <sheet name="04.2022" sheetId="99" r:id="rId28"/>
    <sheet name="05.2022" sheetId="100" r:id="rId29"/>
    <sheet name="06.2022" sheetId="101" r:id="rId30"/>
    <sheet name="07.2022" sheetId="102" r:id="rId31"/>
    <sheet name="08.2022" sheetId="103" r:id="rId32"/>
    <sheet name="09.2022" sheetId="104" r:id="rId33"/>
    <sheet name="10.2022" sheetId="105" r:id="rId34"/>
    <sheet name="11.2022" sheetId="106" r:id="rId35"/>
    <sheet name="12.2022" sheetId="107" r:id="rId36"/>
    <sheet name="01.2023" sheetId="108" r:id="rId37"/>
    <sheet name="02.2023" sheetId="109" r:id="rId38"/>
    <sheet name="03.2023" sheetId="110" r:id="rId39"/>
    <sheet name="04.2023" sheetId="111" r:id="rId40"/>
    <sheet name="05.2023" sheetId="112" r:id="rId41"/>
    <sheet name="06.2023" sheetId="113" r:id="rId42"/>
    <sheet name="07.2023" sheetId="114" r:id="rId43"/>
    <sheet name="08.2023" sheetId="115" r:id="rId44"/>
    <sheet name="09.2023" sheetId="116" r:id="rId45"/>
    <sheet name="10.2023" sheetId="117" r:id="rId46"/>
    <sheet name="11.2023" sheetId="118" r:id="rId47"/>
    <sheet name="12.2023" sheetId="119" r:id="rId48"/>
    <sheet name="01.2024" sheetId="120" r:id="rId49"/>
    <sheet name="02.2024" sheetId="121" r:id="rId50"/>
    <sheet name="03.2024" sheetId="122" r:id="rId51"/>
    <sheet name="04.2024" sheetId="123" r:id="rId52"/>
    <sheet name="05.2024" sheetId="124" r:id="rId53"/>
  </sheets>
  <calcPr calcId="191029"/>
</workbook>
</file>

<file path=xl/calcChain.xml><?xml version="1.0" encoding="utf-8"?>
<calcChain xmlns="http://schemas.openxmlformats.org/spreadsheetml/2006/main">
  <c r="H8" i="124" l="1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12" i="124" l="1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  <c r="H17" i="119"/>
  <c r="J32" i="119" l="1"/>
  <c r="D46" i="119" l="1"/>
  <c r="B46" i="119"/>
  <c r="B47" i="119" s="1"/>
  <c r="E45" i="119"/>
  <c r="C45" i="119"/>
  <c r="E44" i="119"/>
  <c r="C44" i="119"/>
  <c r="E43" i="119"/>
  <c r="C43" i="119"/>
  <c r="E42" i="119"/>
  <c r="C42" i="119"/>
  <c r="E41" i="119"/>
  <c r="C41" i="119"/>
  <c r="E40" i="119"/>
  <c r="C40" i="119"/>
  <c r="B31" i="119"/>
  <c r="B29" i="119"/>
  <c r="B28" i="119"/>
  <c r="B27" i="119"/>
  <c r="B26" i="119"/>
  <c r="H25" i="119"/>
  <c r="G25" i="119"/>
  <c r="F25" i="119"/>
  <c r="E25" i="119"/>
  <c r="D25" i="119"/>
  <c r="C25" i="119"/>
  <c r="B20" i="119"/>
  <c r="B19" i="119"/>
  <c r="B18" i="119"/>
  <c r="B17" i="119"/>
  <c r="H16" i="119"/>
  <c r="G16" i="119"/>
  <c r="B16" i="119" s="1"/>
  <c r="F16" i="119"/>
  <c r="E16" i="119"/>
  <c r="D16" i="119"/>
  <c r="C16" i="119"/>
  <c r="B15" i="119"/>
  <c r="B14" i="119"/>
  <c r="B13" i="119"/>
  <c r="B12" i="119"/>
  <c r="H11" i="119"/>
  <c r="B11" i="119" s="1"/>
  <c r="G11" i="119"/>
  <c r="F11" i="119"/>
  <c r="E11" i="119"/>
  <c r="D11" i="119"/>
  <c r="C11" i="119"/>
  <c r="B10" i="119"/>
  <c r="B9" i="119"/>
  <c r="B8" i="119"/>
  <c r="B7" i="119"/>
  <c r="H6" i="119"/>
  <c r="G6" i="119"/>
  <c r="G21" i="119" s="1"/>
  <c r="F6" i="119"/>
  <c r="F21" i="119" s="1"/>
  <c r="E6" i="119"/>
  <c r="D6" i="119"/>
  <c r="D21" i="119" s="1"/>
  <c r="C6" i="119"/>
  <c r="C21" i="119" s="1"/>
  <c r="B25" i="119" l="1"/>
  <c r="J28" i="119" s="1"/>
  <c r="H21" i="119"/>
  <c r="B6" i="119"/>
  <c r="D47" i="119"/>
  <c r="J33" i="119"/>
  <c r="J35" i="119" s="1"/>
  <c r="C46" i="119"/>
  <c r="E46" i="119"/>
  <c r="B21" i="119"/>
  <c r="J22" i="119" s="1"/>
  <c r="E21" i="119"/>
  <c r="H17" i="118"/>
  <c r="J32" i="118" l="1"/>
  <c r="D46" i="118" l="1"/>
  <c r="B46" i="118"/>
  <c r="B47" i="118" s="1"/>
  <c r="E45" i="118"/>
  <c r="C45" i="118"/>
  <c r="E44" i="118"/>
  <c r="C44" i="118"/>
  <c r="E43" i="118"/>
  <c r="C43" i="118"/>
  <c r="E42" i="118"/>
  <c r="C42" i="118"/>
  <c r="E41" i="118"/>
  <c r="C41" i="118"/>
  <c r="E40" i="118"/>
  <c r="C40" i="118"/>
  <c r="B31" i="118"/>
  <c r="B29" i="118"/>
  <c r="B28" i="118"/>
  <c r="B27" i="118"/>
  <c r="B26" i="118"/>
  <c r="H25" i="118"/>
  <c r="G25" i="118"/>
  <c r="F25" i="118"/>
  <c r="E25" i="118"/>
  <c r="D25" i="118"/>
  <c r="B25" i="118" s="1"/>
  <c r="J28" i="118" s="1"/>
  <c r="C25" i="118"/>
  <c r="B20" i="118"/>
  <c r="B19" i="118"/>
  <c r="B18" i="118"/>
  <c r="B17" i="118"/>
  <c r="H16" i="118"/>
  <c r="G16" i="118"/>
  <c r="F16" i="118"/>
  <c r="E16" i="118"/>
  <c r="D16" i="118"/>
  <c r="C16" i="118"/>
  <c r="B15" i="118"/>
  <c r="B14" i="118"/>
  <c r="B13" i="118"/>
  <c r="B12" i="118"/>
  <c r="H11" i="118"/>
  <c r="G11" i="118"/>
  <c r="F11" i="118"/>
  <c r="E11" i="118"/>
  <c r="D11" i="118"/>
  <c r="C11" i="118"/>
  <c r="B11" i="118" s="1"/>
  <c r="B10" i="118"/>
  <c r="B9" i="118"/>
  <c r="B8" i="118"/>
  <c r="B7" i="118"/>
  <c r="H6" i="118"/>
  <c r="G6" i="118"/>
  <c r="F6" i="118"/>
  <c r="E6" i="118"/>
  <c r="D6" i="118"/>
  <c r="D21" i="118" s="1"/>
  <c r="C6" i="118"/>
  <c r="D47" i="118" l="1"/>
  <c r="J33" i="118"/>
  <c r="J35" i="118" s="1"/>
  <c r="H21" i="118"/>
  <c r="B16" i="118"/>
  <c r="B21" i="118" s="1"/>
  <c r="J22" i="118" s="1"/>
  <c r="G21" i="118"/>
  <c r="C21" i="118"/>
  <c r="E21" i="118"/>
  <c r="B6" i="118"/>
  <c r="E46" i="118"/>
  <c r="C46" i="118"/>
  <c r="F21" i="118"/>
  <c r="H17" i="117"/>
  <c r="B31" i="117" l="1"/>
  <c r="D46" i="117" l="1"/>
  <c r="D47" i="117" s="1"/>
  <c r="B46" i="117"/>
  <c r="B47" i="117" s="1"/>
  <c r="E45" i="117"/>
  <c r="C45" i="117"/>
  <c r="E44" i="117"/>
  <c r="C44" i="117"/>
  <c r="E43" i="117"/>
  <c r="C43" i="117"/>
  <c r="E42" i="117"/>
  <c r="C42" i="117"/>
  <c r="E41" i="117"/>
  <c r="C41" i="117"/>
  <c r="E40" i="117"/>
  <c r="C40" i="117"/>
  <c r="J32" i="117"/>
  <c r="B29" i="117"/>
  <c r="B28" i="117"/>
  <c r="B27" i="117"/>
  <c r="B26" i="117"/>
  <c r="H25" i="117"/>
  <c r="G25" i="117"/>
  <c r="F25" i="117"/>
  <c r="E25" i="117"/>
  <c r="D25" i="117"/>
  <c r="B25" i="117" s="1"/>
  <c r="J28" i="117" s="1"/>
  <c r="C25" i="117"/>
  <c r="B20" i="117"/>
  <c r="B19" i="117"/>
  <c r="B18" i="117"/>
  <c r="B17" i="117"/>
  <c r="H16" i="117"/>
  <c r="G16" i="117"/>
  <c r="F16" i="117"/>
  <c r="E16" i="117"/>
  <c r="D16" i="117"/>
  <c r="C16" i="117"/>
  <c r="B15" i="117"/>
  <c r="B14" i="117"/>
  <c r="B13" i="117"/>
  <c r="B12" i="117"/>
  <c r="H11" i="117"/>
  <c r="G11" i="117"/>
  <c r="F11" i="117"/>
  <c r="E11" i="117"/>
  <c r="E21" i="117" s="1"/>
  <c r="D11" i="117"/>
  <c r="C11" i="117"/>
  <c r="B10" i="117"/>
  <c r="B9" i="117"/>
  <c r="B8" i="117"/>
  <c r="B7" i="117"/>
  <c r="H6" i="117"/>
  <c r="G6" i="117"/>
  <c r="F6" i="117"/>
  <c r="E6" i="117"/>
  <c r="D6" i="117"/>
  <c r="D21" i="117" s="1"/>
  <c r="C6" i="117"/>
  <c r="C21" i="117" s="1"/>
  <c r="F21" i="117" l="1"/>
  <c r="G21" i="117"/>
  <c r="H21" i="117"/>
  <c r="B16" i="117"/>
  <c r="B11" i="117"/>
  <c r="C46" i="117"/>
  <c r="E46" i="117"/>
  <c r="J33" i="117"/>
  <c r="J35" i="117" s="1"/>
  <c r="B6" i="117"/>
  <c r="H17" i="116"/>
  <c r="B21" i="117" l="1"/>
  <c r="J22" i="117" s="1"/>
  <c r="J32" i="116"/>
  <c r="D46" i="116" l="1"/>
  <c r="B46" i="116"/>
  <c r="B47" i="116" s="1"/>
  <c r="E45" i="116"/>
  <c r="C45" i="116"/>
  <c r="E44" i="116"/>
  <c r="C44" i="116"/>
  <c r="E43" i="116"/>
  <c r="C43" i="116"/>
  <c r="E42" i="116"/>
  <c r="C42" i="116"/>
  <c r="E41" i="116"/>
  <c r="C41" i="116"/>
  <c r="E40" i="116"/>
  <c r="C40" i="116"/>
  <c r="B31" i="116"/>
  <c r="B29" i="116"/>
  <c r="B28" i="116"/>
  <c r="B27" i="116"/>
  <c r="B26" i="116"/>
  <c r="H25" i="116"/>
  <c r="G25" i="116"/>
  <c r="F25" i="116"/>
  <c r="E25" i="116"/>
  <c r="D25" i="116"/>
  <c r="B25" i="116" s="1"/>
  <c r="J28" i="116" s="1"/>
  <c r="C25" i="116"/>
  <c r="B20" i="116"/>
  <c r="B19" i="116"/>
  <c r="B18" i="116"/>
  <c r="B17" i="116"/>
  <c r="H16" i="116"/>
  <c r="G16" i="116"/>
  <c r="F16" i="116"/>
  <c r="E16" i="116"/>
  <c r="D16" i="116"/>
  <c r="C16" i="116"/>
  <c r="B15" i="116"/>
  <c r="B14" i="116"/>
  <c r="B13" i="116"/>
  <c r="B12" i="116"/>
  <c r="H11" i="116"/>
  <c r="G11" i="116"/>
  <c r="F11" i="116"/>
  <c r="E11" i="116"/>
  <c r="D11" i="116"/>
  <c r="C11" i="116"/>
  <c r="B11" i="116" s="1"/>
  <c r="B10" i="116"/>
  <c r="B9" i="116"/>
  <c r="B8" i="116"/>
  <c r="B7" i="116"/>
  <c r="H6" i="116"/>
  <c r="G6" i="116"/>
  <c r="F6" i="116"/>
  <c r="E6" i="116"/>
  <c r="E21" i="116" s="1"/>
  <c r="D6" i="116"/>
  <c r="C6" i="116"/>
  <c r="C21" i="116" s="1"/>
  <c r="D47" i="116" l="1"/>
  <c r="J33" i="116"/>
  <c r="J35" i="116" s="1"/>
  <c r="B16" i="116"/>
  <c r="F21" i="116"/>
  <c r="H21" i="116"/>
  <c r="G21" i="116"/>
  <c r="B6" i="116"/>
  <c r="C46" i="116"/>
  <c r="E46" i="116"/>
  <c r="B21" i="116"/>
  <c r="J22" i="116" s="1"/>
  <c r="D21" i="116"/>
  <c r="H17" i="115"/>
  <c r="D46" i="115" l="1"/>
  <c r="D47" i="115" s="1"/>
  <c r="B46" i="115"/>
  <c r="B47" i="115" s="1"/>
  <c r="E45" i="115"/>
  <c r="C45" i="115"/>
  <c r="E44" i="115"/>
  <c r="C44" i="115"/>
  <c r="E43" i="115"/>
  <c r="C43" i="115"/>
  <c r="E42" i="115"/>
  <c r="C42" i="115"/>
  <c r="E41" i="115"/>
  <c r="C41" i="115"/>
  <c r="E40" i="115"/>
  <c r="C40" i="115"/>
  <c r="J32" i="115"/>
  <c r="B31" i="115"/>
  <c r="B29" i="115"/>
  <c r="B28" i="115"/>
  <c r="B27" i="115"/>
  <c r="B26" i="115"/>
  <c r="H25" i="115"/>
  <c r="G25" i="115"/>
  <c r="F25" i="115"/>
  <c r="E25" i="115"/>
  <c r="D25" i="115"/>
  <c r="C25" i="115"/>
  <c r="B20" i="115"/>
  <c r="B19" i="115"/>
  <c r="B18" i="115"/>
  <c r="B17" i="115"/>
  <c r="H16" i="115"/>
  <c r="B16" i="115" s="1"/>
  <c r="G16" i="115"/>
  <c r="F16" i="115"/>
  <c r="E16" i="115"/>
  <c r="D16" i="115"/>
  <c r="C16" i="115"/>
  <c r="B15" i="115"/>
  <c r="B14" i="115"/>
  <c r="B13" i="115"/>
  <c r="B12" i="115"/>
  <c r="H11" i="115"/>
  <c r="G11" i="115"/>
  <c r="F11" i="115"/>
  <c r="E11" i="115"/>
  <c r="D11" i="115"/>
  <c r="C11" i="115"/>
  <c r="B11" i="115" s="1"/>
  <c r="B10" i="115"/>
  <c r="B9" i="115"/>
  <c r="B8" i="115"/>
  <c r="B7" i="115"/>
  <c r="H6" i="115"/>
  <c r="G6" i="115"/>
  <c r="F6" i="115"/>
  <c r="F21" i="115" s="1"/>
  <c r="E6" i="115"/>
  <c r="D6" i="115"/>
  <c r="D21" i="115" s="1"/>
  <c r="C6" i="115"/>
  <c r="B25" i="115" l="1"/>
  <c r="J28" i="115" s="1"/>
  <c r="G21" i="115"/>
  <c r="H21" i="115"/>
  <c r="C21" i="115"/>
  <c r="E21" i="115"/>
  <c r="J33" i="115"/>
  <c r="J35" i="115" s="1"/>
  <c r="C46" i="115"/>
  <c r="E46" i="115"/>
  <c r="B6" i="115"/>
  <c r="B21" i="115" s="1"/>
  <c r="J22" i="115" s="1"/>
  <c r="H17" i="114"/>
  <c r="D46" i="114" l="1"/>
  <c r="D47" i="114" s="1"/>
  <c r="B46" i="114"/>
  <c r="B47" i="114" s="1"/>
  <c r="E45" i="114"/>
  <c r="C45" i="114"/>
  <c r="E44" i="114"/>
  <c r="C44" i="114"/>
  <c r="E43" i="114"/>
  <c r="C43" i="114"/>
  <c r="E42" i="114"/>
  <c r="C42" i="114"/>
  <c r="E41" i="114"/>
  <c r="C41" i="114"/>
  <c r="E40" i="114"/>
  <c r="J32" i="114"/>
  <c r="C40" i="114"/>
  <c r="B31" i="114"/>
  <c r="B29" i="114"/>
  <c r="B28" i="114"/>
  <c r="B27" i="114"/>
  <c r="B26" i="114"/>
  <c r="H25" i="114"/>
  <c r="G25" i="114"/>
  <c r="F25" i="114"/>
  <c r="E25" i="114"/>
  <c r="D25" i="114"/>
  <c r="C25" i="114"/>
  <c r="B20" i="114"/>
  <c r="B19" i="114"/>
  <c r="B18" i="114"/>
  <c r="B17" i="114"/>
  <c r="H16" i="114"/>
  <c r="G16" i="114"/>
  <c r="F16" i="114"/>
  <c r="E16" i="114"/>
  <c r="D16" i="114"/>
  <c r="C16" i="114"/>
  <c r="B15" i="114"/>
  <c r="B14" i="114"/>
  <c r="B13" i="114"/>
  <c r="B12" i="114"/>
  <c r="H11" i="114"/>
  <c r="G11" i="114"/>
  <c r="F11" i="114"/>
  <c r="E11" i="114"/>
  <c r="D11" i="114"/>
  <c r="C11" i="114"/>
  <c r="B11" i="114" s="1"/>
  <c r="B10" i="114"/>
  <c r="B9" i="114"/>
  <c r="B8" i="114"/>
  <c r="B7" i="114"/>
  <c r="H6" i="114"/>
  <c r="G6" i="114"/>
  <c r="F6" i="114"/>
  <c r="E6" i="114"/>
  <c r="E21" i="114" s="1"/>
  <c r="D6" i="114"/>
  <c r="D21" i="114" s="1"/>
  <c r="C6" i="114"/>
  <c r="C21" i="114" s="1"/>
  <c r="J33" i="114" l="1"/>
  <c r="J35" i="114" s="1"/>
  <c r="B25" i="114"/>
  <c r="J28" i="114" s="1"/>
  <c r="G21" i="114"/>
  <c r="B16" i="114"/>
  <c r="F21" i="114"/>
  <c r="H21" i="114"/>
  <c r="E46" i="114"/>
  <c r="C46" i="114"/>
  <c r="B6" i="114"/>
  <c r="B32" i="113"/>
  <c r="B21" i="114" l="1"/>
  <c r="J22" i="114" s="1"/>
  <c r="H17" i="113"/>
  <c r="C40" i="113" l="1"/>
  <c r="D46" i="113" l="1"/>
  <c r="D47" i="113" s="1"/>
  <c r="B46" i="113"/>
  <c r="B47" i="113" s="1"/>
  <c r="E45" i="113"/>
  <c r="C45" i="113"/>
  <c r="E44" i="113"/>
  <c r="C44" i="113"/>
  <c r="E43" i="113"/>
  <c r="C43" i="113"/>
  <c r="E42" i="113"/>
  <c r="C42" i="113"/>
  <c r="E41" i="113"/>
  <c r="C41" i="113"/>
  <c r="E40" i="113"/>
  <c r="J32" i="113"/>
  <c r="B31" i="113"/>
  <c r="B29" i="113"/>
  <c r="B28" i="113"/>
  <c r="B27" i="113"/>
  <c r="B26" i="113"/>
  <c r="H25" i="113"/>
  <c r="G25" i="113"/>
  <c r="F25" i="113"/>
  <c r="E25" i="113"/>
  <c r="D25" i="113"/>
  <c r="C25" i="113"/>
  <c r="B20" i="113"/>
  <c r="B19" i="113"/>
  <c r="B18" i="113"/>
  <c r="B17" i="113"/>
  <c r="G16" i="113"/>
  <c r="F16" i="113"/>
  <c r="E16" i="113"/>
  <c r="D16" i="113"/>
  <c r="C16" i="113"/>
  <c r="B15" i="113"/>
  <c r="B14" i="113"/>
  <c r="B13" i="113"/>
  <c r="B12" i="113"/>
  <c r="H11" i="113"/>
  <c r="G11" i="113"/>
  <c r="F11" i="113"/>
  <c r="E11" i="113"/>
  <c r="D11" i="113"/>
  <c r="C11" i="113"/>
  <c r="B10" i="113"/>
  <c r="B9" i="113"/>
  <c r="B8" i="113"/>
  <c r="B7" i="113"/>
  <c r="H6" i="113"/>
  <c r="G6" i="113"/>
  <c r="F6" i="113"/>
  <c r="F21" i="113" s="1"/>
  <c r="E6" i="113"/>
  <c r="D6" i="113"/>
  <c r="D21" i="113" s="1"/>
  <c r="C6" i="113"/>
  <c r="B11" i="113" l="1"/>
  <c r="C21" i="113"/>
  <c r="E21" i="113"/>
  <c r="B6" i="113"/>
  <c r="B25" i="113"/>
  <c r="J28" i="113" s="1"/>
  <c r="J33" i="113"/>
  <c r="J35" i="113" s="1"/>
  <c r="E46" i="113"/>
  <c r="C46" i="113"/>
  <c r="G21" i="113"/>
  <c r="H16" i="113"/>
  <c r="B16" i="113" s="1"/>
  <c r="B21" i="113" s="1"/>
  <c r="J22" i="113" s="1"/>
  <c r="H17" i="112"/>
  <c r="H21" i="113" l="1"/>
  <c r="J32" i="112"/>
  <c r="D46" i="112" l="1"/>
  <c r="B46" i="112"/>
  <c r="B47" i="112" s="1"/>
  <c r="E45" i="112"/>
  <c r="C45" i="112"/>
  <c r="E44" i="112"/>
  <c r="C44" i="112"/>
  <c r="E43" i="112"/>
  <c r="C43" i="112"/>
  <c r="E42" i="112"/>
  <c r="C42" i="112"/>
  <c r="E41" i="112"/>
  <c r="C41" i="112"/>
  <c r="E40" i="112"/>
  <c r="C40" i="112"/>
  <c r="B31" i="112"/>
  <c r="B29" i="112"/>
  <c r="B28" i="112"/>
  <c r="B27" i="112"/>
  <c r="B26" i="112"/>
  <c r="H25" i="112"/>
  <c r="G25" i="112"/>
  <c r="F25" i="112"/>
  <c r="E25" i="112"/>
  <c r="D25" i="112"/>
  <c r="C25" i="112"/>
  <c r="B20" i="112"/>
  <c r="B19" i="112"/>
  <c r="B18" i="112"/>
  <c r="H16" i="112"/>
  <c r="B17" i="112"/>
  <c r="G16" i="112"/>
  <c r="F16" i="112"/>
  <c r="E16" i="112"/>
  <c r="D16" i="112"/>
  <c r="C16" i="112"/>
  <c r="B15" i="112"/>
  <c r="B14" i="112"/>
  <c r="B13" i="112"/>
  <c r="B12" i="112"/>
  <c r="H11" i="112"/>
  <c r="G11" i="112"/>
  <c r="F11" i="112"/>
  <c r="E11" i="112"/>
  <c r="D11" i="112"/>
  <c r="C11" i="112"/>
  <c r="B10" i="112"/>
  <c r="B9" i="112"/>
  <c r="B8" i="112"/>
  <c r="B7" i="112"/>
  <c r="H6" i="112"/>
  <c r="G6" i="112"/>
  <c r="F6" i="112"/>
  <c r="E6" i="112"/>
  <c r="E21" i="112" s="1"/>
  <c r="D6" i="112"/>
  <c r="D21" i="112" s="1"/>
  <c r="C6" i="112"/>
  <c r="C21" i="112" s="1"/>
  <c r="D47" i="112" l="1"/>
  <c r="J33" i="112"/>
  <c r="J35" i="112" s="1"/>
  <c r="G21" i="112"/>
  <c r="B11" i="112"/>
  <c r="H21" i="112"/>
  <c r="F21" i="112"/>
  <c r="B6" i="112"/>
  <c r="B21" i="112" s="1"/>
  <c r="J22" i="112" s="1"/>
  <c r="B25" i="112"/>
  <c r="J28" i="112" s="1"/>
  <c r="E46" i="112"/>
  <c r="C46" i="112"/>
  <c r="B16" i="112"/>
  <c r="J32" i="111"/>
  <c r="H17" i="111" l="1"/>
  <c r="D46" i="111" l="1"/>
  <c r="B46" i="111"/>
  <c r="B47" i="111" s="1"/>
  <c r="E45" i="111"/>
  <c r="C45" i="111"/>
  <c r="E44" i="111"/>
  <c r="C44" i="111"/>
  <c r="E43" i="111"/>
  <c r="C43" i="111"/>
  <c r="E42" i="111"/>
  <c r="C42" i="111"/>
  <c r="E41" i="111"/>
  <c r="C41" i="111"/>
  <c r="E40" i="111"/>
  <c r="C40" i="111"/>
  <c r="B31" i="111"/>
  <c r="B29" i="111"/>
  <c r="B28" i="111"/>
  <c r="B27" i="111"/>
  <c r="B26" i="111"/>
  <c r="H25" i="111"/>
  <c r="G25" i="111"/>
  <c r="F25" i="111"/>
  <c r="E25" i="111"/>
  <c r="D25" i="111"/>
  <c r="C25" i="111"/>
  <c r="B20" i="111"/>
  <c r="B19" i="111"/>
  <c r="B18" i="111"/>
  <c r="B17" i="111"/>
  <c r="H16" i="111"/>
  <c r="G16" i="111"/>
  <c r="F16" i="111"/>
  <c r="E16" i="111"/>
  <c r="D16" i="111"/>
  <c r="C16" i="111"/>
  <c r="B15" i="111"/>
  <c r="B14" i="111"/>
  <c r="B13" i="111"/>
  <c r="B12" i="111"/>
  <c r="H11" i="111"/>
  <c r="G11" i="111"/>
  <c r="F11" i="111"/>
  <c r="E11" i="111"/>
  <c r="D11" i="111"/>
  <c r="D21" i="111" s="1"/>
  <c r="C11" i="111"/>
  <c r="B11" i="111" s="1"/>
  <c r="B10" i="111"/>
  <c r="B9" i="111"/>
  <c r="B8" i="111"/>
  <c r="B7" i="111"/>
  <c r="H6" i="111"/>
  <c r="G6" i="111"/>
  <c r="F6" i="111"/>
  <c r="F21" i="111" s="1"/>
  <c r="E6" i="111"/>
  <c r="E21" i="111" s="1"/>
  <c r="D6" i="111"/>
  <c r="C6" i="111"/>
  <c r="B25" i="111" l="1"/>
  <c r="J28" i="111" s="1"/>
  <c r="D47" i="111"/>
  <c r="J33" i="111"/>
  <c r="J35" i="111" s="1"/>
  <c r="B16" i="111"/>
  <c r="H21" i="111"/>
  <c r="G21" i="111"/>
  <c r="C21" i="111"/>
  <c r="C46" i="111"/>
  <c r="E46" i="111"/>
  <c r="B6" i="111"/>
  <c r="B21" i="111" s="1"/>
  <c r="H17" i="110"/>
  <c r="J22" i="111" l="1"/>
  <c r="C40" i="110"/>
  <c r="Q13" i="110" l="1"/>
  <c r="Q12" i="110" l="1"/>
  <c r="P11" i="110"/>
  <c r="P13" i="110" s="1"/>
  <c r="O11" i="110"/>
  <c r="O13" i="110" s="1"/>
  <c r="N11" i="110"/>
  <c r="N13" i="110" s="1"/>
  <c r="M11" i="110"/>
  <c r="M13" i="110" s="1"/>
  <c r="L11" i="110"/>
  <c r="L13" i="110" s="1"/>
  <c r="K11" i="110"/>
  <c r="Q11" i="110" s="1"/>
  <c r="Q10" i="110"/>
  <c r="Q9" i="110"/>
  <c r="K13" i="110" l="1"/>
  <c r="D46" i="110" l="1"/>
  <c r="B46" i="110"/>
  <c r="B47" i="110" s="1"/>
  <c r="E45" i="110"/>
  <c r="C45" i="110"/>
  <c r="E44" i="110"/>
  <c r="C44" i="110"/>
  <c r="E43" i="110"/>
  <c r="C43" i="110"/>
  <c r="E42" i="110"/>
  <c r="C42" i="110"/>
  <c r="E41" i="110"/>
  <c r="C41" i="110"/>
  <c r="E40" i="110"/>
  <c r="J32" i="110"/>
  <c r="B31" i="110"/>
  <c r="B29" i="110"/>
  <c r="B28" i="110"/>
  <c r="B27" i="110"/>
  <c r="B26" i="110"/>
  <c r="H25" i="110"/>
  <c r="G25" i="110"/>
  <c r="F25" i="110"/>
  <c r="E25" i="110"/>
  <c r="D25" i="110"/>
  <c r="C25" i="110"/>
  <c r="B20" i="110"/>
  <c r="B19" i="110"/>
  <c r="B18" i="110"/>
  <c r="B17" i="110"/>
  <c r="H16" i="110"/>
  <c r="G16" i="110"/>
  <c r="F16" i="110"/>
  <c r="E16" i="110"/>
  <c r="D16" i="110"/>
  <c r="C16" i="110"/>
  <c r="B15" i="110"/>
  <c r="B14" i="110"/>
  <c r="B13" i="110"/>
  <c r="B12" i="110"/>
  <c r="H11" i="110"/>
  <c r="G11" i="110"/>
  <c r="F11" i="110"/>
  <c r="E11" i="110"/>
  <c r="D11" i="110"/>
  <c r="C11" i="110"/>
  <c r="B10" i="110"/>
  <c r="B9" i="110"/>
  <c r="B8" i="110"/>
  <c r="B7" i="110"/>
  <c r="H6" i="110"/>
  <c r="G6" i="110"/>
  <c r="F6" i="110"/>
  <c r="E6" i="110"/>
  <c r="E21" i="110" s="1"/>
  <c r="D6" i="110"/>
  <c r="C6" i="110"/>
  <c r="D47" i="110" l="1"/>
  <c r="J33" i="110"/>
  <c r="B25" i="110"/>
  <c r="J28" i="110" s="1"/>
  <c r="F21" i="110"/>
  <c r="G21" i="110"/>
  <c r="B16" i="110"/>
  <c r="C21" i="110"/>
  <c r="H21" i="110"/>
  <c r="B11" i="110"/>
  <c r="B6" i="110"/>
  <c r="J35" i="110"/>
  <c r="E46" i="110"/>
  <c r="C46" i="110"/>
  <c r="B21" i="110"/>
  <c r="D21" i="110"/>
  <c r="H17" i="109"/>
  <c r="J32" i="109"/>
  <c r="J22" i="110" l="1"/>
  <c r="E40" i="109"/>
  <c r="C40" i="109"/>
  <c r="Q12" i="109" l="1"/>
  <c r="P11" i="109"/>
  <c r="P13" i="109" s="1"/>
  <c r="O11" i="109"/>
  <c r="O13" i="109" s="1"/>
  <c r="N11" i="109"/>
  <c r="N13" i="109" s="1"/>
  <c r="M11" i="109"/>
  <c r="M13" i="109" s="1"/>
  <c r="L11" i="109"/>
  <c r="L13" i="109" s="1"/>
  <c r="K11" i="109"/>
  <c r="Q11" i="109" s="1"/>
  <c r="Q10" i="109"/>
  <c r="Q9" i="109"/>
  <c r="K13" i="109" l="1"/>
  <c r="Q13" i="109" s="1"/>
  <c r="B46" i="109" l="1"/>
  <c r="B47" i="109" s="1"/>
  <c r="E45" i="109"/>
  <c r="C45" i="109"/>
  <c r="E44" i="109"/>
  <c r="C44" i="109"/>
  <c r="E43" i="109"/>
  <c r="C43" i="109"/>
  <c r="E42" i="109"/>
  <c r="C42" i="109"/>
  <c r="E41" i="109"/>
  <c r="D46" i="109"/>
  <c r="J33" i="109" s="1"/>
  <c r="C41" i="109"/>
  <c r="B31" i="109"/>
  <c r="B29" i="109"/>
  <c r="B28" i="109"/>
  <c r="B27" i="109"/>
  <c r="B26" i="109"/>
  <c r="H25" i="109"/>
  <c r="G25" i="109"/>
  <c r="F25" i="109"/>
  <c r="E25" i="109"/>
  <c r="D25" i="109"/>
  <c r="C25" i="109"/>
  <c r="B20" i="109"/>
  <c r="B19" i="109"/>
  <c r="B18" i="109"/>
  <c r="H16" i="109"/>
  <c r="B17" i="109"/>
  <c r="G16" i="109"/>
  <c r="F16" i="109"/>
  <c r="E16" i="109"/>
  <c r="D16" i="109"/>
  <c r="C16" i="109"/>
  <c r="B15" i="109"/>
  <c r="B14" i="109"/>
  <c r="B13" i="109"/>
  <c r="B12" i="109"/>
  <c r="H11" i="109"/>
  <c r="G11" i="109"/>
  <c r="F11" i="109"/>
  <c r="E11" i="109"/>
  <c r="D11" i="109"/>
  <c r="C11" i="109"/>
  <c r="B10" i="109"/>
  <c r="B9" i="109"/>
  <c r="B8" i="109"/>
  <c r="B7" i="109"/>
  <c r="H6" i="109"/>
  <c r="G6" i="109"/>
  <c r="F6" i="109"/>
  <c r="E6" i="109"/>
  <c r="D6" i="109"/>
  <c r="C6" i="109"/>
  <c r="C21" i="109" s="1"/>
  <c r="E46" i="109" l="1"/>
  <c r="D21" i="109"/>
  <c r="E21" i="109"/>
  <c r="J35" i="109"/>
  <c r="F21" i="109"/>
  <c r="G21" i="109"/>
  <c r="B11" i="109"/>
  <c r="H21" i="109"/>
  <c r="B6" i="109"/>
  <c r="B25" i="109"/>
  <c r="J28" i="109" s="1"/>
  <c r="C46" i="109"/>
  <c r="B16" i="109"/>
  <c r="D47" i="109"/>
  <c r="H17" i="108"/>
  <c r="B21" i="109" l="1"/>
  <c r="J22" i="109" s="1"/>
  <c r="D41" i="108"/>
  <c r="D40" i="108"/>
  <c r="J32" i="108" s="1"/>
  <c r="D42" i="108"/>
  <c r="Q12" i="108" l="1"/>
  <c r="P11" i="108"/>
  <c r="P13" i="108" s="1"/>
  <c r="O11" i="108"/>
  <c r="O13" i="108" s="1"/>
  <c r="N11" i="108"/>
  <c r="N13" i="108" s="1"/>
  <c r="M11" i="108"/>
  <c r="M13" i="108" s="1"/>
  <c r="L11" i="108"/>
  <c r="Q11" i="108" s="1"/>
  <c r="K11" i="108"/>
  <c r="K13" i="108" s="1"/>
  <c r="Q10" i="108"/>
  <c r="Q9" i="108"/>
  <c r="L13" i="108" l="1"/>
  <c r="Q13" i="108" s="1"/>
  <c r="C40" i="108"/>
  <c r="D46" i="108" l="1"/>
  <c r="B46" i="108"/>
  <c r="B47" i="108" s="1"/>
  <c r="E45" i="108"/>
  <c r="C45" i="108"/>
  <c r="E44" i="108"/>
  <c r="C44" i="108"/>
  <c r="E43" i="108"/>
  <c r="C43" i="108"/>
  <c r="E42" i="108"/>
  <c r="C42" i="108"/>
  <c r="E41" i="108"/>
  <c r="C41" i="108"/>
  <c r="E40" i="108"/>
  <c r="B31" i="108"/>
  <c r="B29" i="108"/>
  <c r="B28" i="108"/>
  <c r="B27" i="108"/>
  <c r="B26" i="108"/>
  <c r="H25" i="108"/>
  <c r="G25" i="108"/>
  <c r="F25" i="108"/>
  <c r="E25" i="108"/>
  <c r="D25" i="108"/>
  <c r="C25" i="108"/>
  <c r="B20" i="108"/>
  <c r="B19" i="108"/>
  <c r="B18" i="108"/>
  <c r="G16" i="108"/>
  <c r="F16" i="108"/>
  <c r="F21" i="108" s="1"/>
  <c r="E16" i="108"/>
  <c r="D16" i="108"/>
  <c r="C16" i="108"/>
  <c r="B15" i="108"/>
  <c r="B14" i="108"/>
  <c r="B13" i="108"/>
  <c r="B12" i="108"/>
  <c r="H11" i="108"/>
  <c r="G11" i="108"/>
  <c r="F11" i="108"/>
  <c r="E11" i="108"/>
  <c r="D11" i="108"/>
  <c r="C11" i="108"/>
  <c r="B11" i="108" s="1"/>
  <c r="B10" i="108"/>
  <c r="B9" i="108"/>
  <c r="B8" i="108"/>
  <c r="B7" i="108"/>
  <c r="H6" i="108"/>
  <c r="G6" i="108"/>
  <c r="F6" i="108"/>
  <c r="E6" i="108"/>
  <c r="D6" i="108"/>
  <c r="C6" i="108"/>
  <c r="E21" i="108" l="1"/>
  <c r="D47" i="108"/>
  <c r="J33" i="108"/>
  <c r="J35" i="108" s="1"/>
  <c r="B25" i="108"/>
  <c r="J28" i="108" s="1"/>
  <c r="C21" i="108"/>
  <c r="D21" i="108"/>
  <c r="G21" i="108"/>
  <c r="C46" i="108"/>
  <c r="E46" i="108"/>
  <c r="B6" i="108"/>
  <c r="H17" i="107"/>
  <c r="K13" i="107" l="1"/>
  <c r="Q13" i="107" s="1"/>
  <c r="Q12" i="107"/>
  <c r="Q11" i="107"/>
  <c r="P11" i="107"/>
  <c r="P13" i="107" s="1"/>
  <c r="O11" i="107"/>
  <c r="O13" i="107" s="1"/>
  <c r="N11" i="107"/>
  <c r="N13" i="107" s="1"/>
  <c r="M11" i="107"/>
  <c r="M13" i="107" s="1"/>
  <c r="L11" i="107"/>
  <c r="L13" i="107" s="1"/>
  <c r="K11" i="107"/>
  <c r="Q10" i="107"/>
  <c r="Q9" i="107"/>
  <c r="C40" i="107" l="1"/>
  <c r="C40" i="106"/>
  <c r="J32" i="107" l="1"/>
  <c r="D46" i="107" l="1"/>
  <c r="D47" i="107" s="1"/>
  <c r="B46" i="107"/>
  <c r="B47" i="107" s="1"/>
  <c r="E45" i="107"/>
  <c r="C45" i="107"/>
  <c r="E44" i="107"/>
  <c r="C44" i="107"/>
  <c r="E43" i="107"/>
  <c r="C43" i="107"/>
  <c r="E42" i="107"/>
  <c r="C42" i="107"/>
  <c r="E41" i="107"/>
  <c r="C41" i="107"/>
  <c r="E40" i="107"/>
  <c r="B31" i="107"/>
  <c r="B29" i="107"/>
  <c r="B28" i="107"/>
  <c r="B27" i="107"/>
  <c r="B26" i="107"/>
  <c r="H25" i="107"/>
  <c r="G25" i="107"/>
  <c r="F25" i="107"/>
  <c r="E25" i="107"/>
  <c r="D25" i="107"/>
  <c r="C25" i="107"/>
  <c r="B20" i="107"/>
  <c r="B19" i="107"/>
  <c r="B18" i="107"/>
  <c r="B17" i="107"/>
  <c r="H16" i="107"/>
  <c r="G16" i="107"/>
  <c r="F16" i="107"/>
  <c r="E16" i="107"/>
  <c r="D16" i="107"/>
  <c r="C16" i="107"/>
  <c r="B15" i="107"/>
  <c r="B14" i="107"/>
  <c r="B13" i="107"/>
  <c r="B12" i="107"/>
  <c r="H11" i="107"/>
  <c r="G11" i="107"/>
  <c r="F11" i="107"/>
  <c r="E11" i="107"/>
  <c r="D11" i="107"/>
  <c r="C11" i="107"/>
  <c r="B10" i="107"/>
  <c r="B9" i="107"/>
  <c r="B8" i="107"/>
  <c r="B7" i="107"/>
  <c r="H6" i="107"/>
  <c r="G6" i="107"/>
  <c r="F6" i="107"/>
  <c r="B6" i="107" s="1"/>
  <c r="E6" i="107"/>
  <c r="D6" i="107"/>
  <c r="D21" i="107" s="1"/>
  <c r="C6" i="107"/>
  <c r="C21" i="107" s="1"/>
  <c r="C46" i="107" l="1"/>
  <c r="B25" i="107"/>
  <c r="J28" i="107" s="1"/>
  <c r="E21" i="107"/>
  <c r="G21" i="107"/>
  <c r="B11" i="107"/>
  <c r="J33" i="107"/>
  <c r="J35" i="107" s="1"/>
  <c r="B16" i="107"/>
  <c r="H21" i="107"/>
  <c r="E46" i="107"/>
  <c r="F21" i="107"/>
  <c r="H17" i="106"/>
  <c r="B21" i="107" l="1"/>
  <c r="J22" i="107" s="1"/>
  <c r="E40" i="106"/>
  <c r="E40" i="105" l="1"/>
  <c r="J32" i="106"/>
  <c r="E42" i="106" l="1"/>
  <c r="C41" i="106" l="1"/>
  <c r="D46" i="106"/>
  <c r="D47" i="106" l="1"/>
  <c r="J33" i="106"/>
  <c r="B46" i="106"/>
  <c r="B47" i="106" s="1"/>
  <c r="E45" i="106"/>
  <c r="C45" i="106"/>
  <c r="E44" i="106"/>
  <c r="C44" i="106"/>
  <c r="E43" i="106"/>
  <c r="C43" i="106"/>
  <c r="C42" i="106"/>
  <c r="E41" i="106"/>
  <c r="B31" i="106"/>
  <c r="J35" i="106" s="1"/>
  <c r="B29" i="106"/>
  <c r="B28" i="106"/>
  <c r="B27" i="106"/>
  <c r="B26" i="106"/>
  <c r="H25" i="106"/>
  <c r="G25" i="106"/>
  <c r="F25" i="106"/>
  <c r="E25" i="106"/>
  <c r="D25" i="106"/>
  <c r="C25" i="106"/>
  <c r="B20" i="106"/>
  <c r="B19" i="106"/>
  <c r="B18" i="106"/>
  <c r="B17" i="106"/>
  <c r="H16" i="106"/>
  <c r="G16" i="106"/>
  <c r="F16" i="106"/>
  <c r="E16" i="106"/>
  <c r="D16" i="106"/>
  <c r="C16" i="106"/>
  <c r="B15" i="106"/>
  <c r="B14" i="106"/>
  <c r="B13" i="106"/>
  <c r="B12" i="106"/>
  <c r="H11" i="106"/>
  <c r="G11" i="106"/>
  <c r="F11" i="106"/>
  <c r="E11" i="106"/>
  <c r="D11" i="106"/>
  <c r="C11" i="106"/>
  <c r="B11" i="106" s="1"/>
  <c r="B10" i="106"/>
  <c r="B9" i="106"/>
  <c r="B8" i="106"/>
  <c r="B7" i="106"/>
  <c r="H6" i="106"/>
  <c r="G6" i="106"/>
  <c r="G21" i="106" s="1"/>
  <c r="F6" i="106"/>
  <c r="B6" i="106" s="1"/>
  <c r="E6" i="106"/>
  <c r="E21" i="106" s="1"/>
  <c r="D6" i="106"/>
  <c r="C6" i="106"/>
  <c r="B25" i="106" l="1"/>
  <c r="J28" i="106" s="1"/>
  <c r="H21" i="106"/>
  <c r="B16" i="106"/>
  <c r="C21" i="106"/>
  <c r="D21" i="106"/>
  <c r="C46" i="106"/>
  <c r="E46" i="106"/>
  <c r="B21" i="106"/>
  <c r="J22" i="106" s="1"/>
  <c r="F21" i="106"/>
  <c r="H17" i="105" l="1"/>
  <c r="J32" i="105" l="1"/>
  <c r="E44" i="105"/>
  <c r="B46" i="105" l="1"/>
  <c r="B47" i="105" s="1"/>
  <c r="Q12" i="105" l="1"/>
  <c r="P11" i="105"/>
  <c r="P13" i="105" s="1"/>
  <c r="O11" i="105"/>
  <c r="O13" i="105" s="1"/>
  <c r="N11" i="105"/>
  <c r="N13" i="105" s="1"/>
  <c r="M11" i="105"/>
  <c r="M13" i="105" s="1"/>
  <c r="L11" i="105"/>
  <c r="L13" i="105" s="1"/>
  <c r="K11" i="105"/>
  <c r="K13" i="105" s="1"/>
  <c r="Q13" i="105" s="1"/>
  <c r="Q10" i="105"/>
  <c r="Q9" i="105"/>
  <c r="Q11" i="105" l="1"/>
  <c r="C40" i="105" l="1"/>
  <c r="D46" i="105" l="1"/>
  <c r="E45" i="105"/>
  <c r="C45" i="105"/>
  <c r="C44" i="105"/>
  <c r="E43" i="105"/>
  <c r="C43" i="105"/>
  <c r="E42" i="105"/>
  <c r="C42" i="105"/>
  <c r="E41" i="105"/>
  <c r="C41" i="105"/>
  <c r="B31" i="105"/>
  <c r="B29" i="105"/>
  <c r="B28" i="105"/>
  <c r="B27" i="105"/>
  <c r="B26" i="105"/>
  <c r="H25" i="105"/>
  <c r="G25" i="105"/>
  <c r="F25" i="105"/>
  <c r="E25" i="105"/>
  <c r="D25" i="105"/>
  <c r="C25" i="105"/>
  <c r="B20" i="105"/>
  <c r="B19" i="105"/>
  <c r="B18" i="105"/>
  <c r="B17" i="105"/>
  <c r="G16" i="105"/>
  <c r="F16" i="105"/>
  <c r="E16" i="105"/>
  <c r="D16" i="105"/>
  <c r="C16" i="105"/>
  <c r="B15" i="105"/>
  <c r="B14" i="105"/>
  <c r="B13" i="105"/>
  <c r="B12" i="105"/>
  <c r="H11" i="105"/>
  <c r="G11" i="105"/>
  <c r="F11" i="105"/>
  <c r="E11" i="105"/>
  <c r="D11" i="105"/>
  <c r="D21" i="105" s="1"/>
  <c r="C11" i="105"/>
  <c r="B10" i="105"/>
  <c r="B9" i="105"/>
  <c r="B8" i="105"/>
  <c r="B7" i="105"/>
  <c r="H6" i="105"/>
  <c r="G6" i="105"/>
  <c r="F6" i="105"/>
  <c r="F21" i="105" s="1"/>
  <c r="E6" i="105"/>
  <c r="D6" i="105"/>
  <c r="C6" i="105"/>
  <c r="J33" i="105" l="1"/>
  <c r="J35" i="105" s="1"/>
  <c r="D47" i="105"/>
  <c r="B25" i="105"/>
  <c r="J28" i="105" s="1"/>
  <c r="G21" i="105"/>
  <c r="C21" i="105"/>
  <c r="B6" i="105"/>
  <c r="C46" i="105"/>
  <c r="E46" i="105"/>
  <c r="B11" i="105"/>
  <c r="H16" i="105"/>
  <c r="B16" i="105" s="1"/>
  <c r="E21" i="105"/>
  <c r="C40" i="104"/>
  <c r="J22" i="104"/>
  <c r="H17" i="104"/>
  <c r="B21" i="105" l="1"/>
  <c r="J22" i="105" s="1"/>
  <c r="H21" i="105"/>
  <c r="Q12" i="104"/>
  <c r="P11" i="104"/>
  <c r="P13" i="104" s="1"/>
  <c r="O11" i="104"/>
  <c r="O13" i="104" s="1"/>
  <c r="N11" i="104"/>
  <c r="N13" i="104" s="1"/>
  <c r="M11" i="104"/>
  <c r="M13" i="104" s="1"/>
  <c r="L11" i="104"/>
  <c r="L13" i="104" s="1"/>
  <c r="K11" i="104"/>
  <c r="Q11" i="104" s="1"/>
  <c r="Q10" i="104"/>
  <c r="Q9" i="104"/>
  <c r="K13" i="104" l="1"/>
  <c r="Q13" i="104" s="1"/>
  <c r="H25" i="104" l="1"/>
  <c r="G25" i="104"/>
  <c r="F25" i="104"/>
  <c r="E25" i="104"/>
  <c r="D25" i="104"/>
  <c r="C25" i="104"/>
  <c r="B29" i="104"/>
  <c r="B28" i="104"/>
  <c r="B27" i="104"/>
  <c r="B26" i="104"/>
  <c r="B31" i="104"/>
  <c r="H16" i="104"/>
  <c r="G16" i="104"/>
  <c r="F16" i="104"/>
  <c r="E16" i="104"/>
  <c r="D16" i="104"/>
  <c r="C16" i="104"/>
  <c r="H11" i="104"/>
  <c r="G11" i="104"/>
  <c r="F11" i="104"/>
  <c r="E11" i="104"/>
  <c r="D11" i="104"/>
  <c r="C11" i="104"/>
  <c r="B11" i="104" s="1"/>
  <c r="H6" i="104"/>
  <c r="G6" i="104"/>
  <c r="F6" i="104"/>
  <c r="E6" i="104"/>
  <c r="D6" i="104"/>
  <c r="C6" i="104"/>
  <c r="B20" i="104"/>
  <c r="B19" i="104"/>
  <c r="B18" i="104"/>
  <c r="B17" i="104"/>
  <c r="B15" i="104"/>
  <c r="B14" i="104"/>
  <c r="B13" i="104"/>
  <c r="B12" i="104"/>
  <c r="B10" i="104"/>
  <c r="B9" i="104"/>
  <c r="B8" i="104"/>
  <c r="B7" i="104"/>
  <c r="B16" i="104" l="1"/>
  <c r="C21" i="104"/>
  <c r="B6" i="104"/>
  <c r="B21" i="104" s="1"/>
  <c r="B25" i="104"/>
  <c r="E40" i="104"/>
  <c r="J32" i="104"/>
  <c r="D46" i="104"/>
  <c r="J33" i="104" s="1"/>
  <c r="E42" i="104"/>
  <c r="E43" i="104"/>
  <c r="E44" i="104"/>
  <c r="E45" i="104"/>
  <c r="E41" i="104"/>
  <c r="C42" i="104"/>
  <c r="C43" i="104"/>
  <c r="C44" i="104"/>
  <c r="C45" i="104"/>
  <c r="C41" i="104"/>
  <c r="B46" i="104"/>
  <c r="J35" i="104" l="1"/>
  <c r="C46" i="104"/>
  <c r="E46" i="104"/>
  <c r="E21" i="104" l="1"/>
  <c r="D21" i="104"/>
  <c r="G21" i="104"/>
  <c r="F21" i="104"/>
  <c r="J28" i="104" l="1"/>
  <c r="H21" i="104"/>
  <c r="J33" i="103"/>
  <c r="J35" i="103" l="1"/>
  <c r="H17" i="103"/>
  <c r="Q12" i="103" l="1"/>
  <c r="P11" i="103"/>
  <c r="Q11" i="103" s="1"/>
  <c r="O11" i="103"/>
  <c r="O13" i="103" s="1"/>
  <c r="N11" i="103"/>
  <c r="N13" i="103" s="1"/>
  <c r="M11" i="103"/>
  <c r="M13" i="103" s="1"/>
  <c r="L11" i="103"/>
  <c r="L13" i="103" s="1"/>
  <c r="K11" i="103"/>
  <c r="K13" i="103" s="1"/>
  <c r="Q10" i="103"/>
  <c r="Q9" i="103"/>
  <c r="Q13" i="103" l="1"/>
  <c r="P13" i="103"/>
  <c r="B26" i="103" l="1"/>
  <c r="H25" i="103" l="1"/>
  <c r="G25" i="103"/>
  <c r="F25" i="103"/>
  <c r="E25" i="103"/>
  <c r="D25" i="103"/>
  <c r="C25" i="103"/>
  <c r="B31" i="103" l="1"/>
  <c r="B29" i="103"/>
  <c r="B28" i="103"/>
  <c r="B27" i="103"/>
  <c r="H16" i="103"/>
  <c r="G16" i="103"/>
  <c r="G21" i="103" s="1"/>
  <c r="F16" i="103"/>
  <c r="E16" i="103"/>
  <c r="D16" i="103"/>
  <c r="C16" i="103"/>
  <c r="H11" i="103"/>
  <c r="G11" i="103"/>
  <c r="F11" i="103"/>
  <c r="E11" i="103"/>
  <c r="D11" i="103"/>
  <c r="C11" i="103"/>
  <c r="H6" i="103"/>
  <c r="G6" i="103"/>
  <c r="F6" i="103"/>
  <c r="E6" i="103"/>
  <c r="D6" i="103"/>
  <c r="C6" i="103"/>
  <c r="B11" i="103" l="1"/>
  <c r="E21" i="103"/>
  <c r="F21" i="103"/>
  <c r="H21" i="103"/>
  <c r="C21" i="103"/>
  <c r="B6" i="103"/>
  <c r="D21" i="103"/>
  <c r="B21" i="103" s="1"/>
  <c r="J22" i="103" s="1"/>
  <c r="B25" i="103"/>
  <c r="J28" i="103" s="1"/>
  <c r="B16" i="103"/>
  <c r="J35" i="102"/>
  <c r="J28" i="102" l="1"/>
  <c r="J34" i="100" l="1"/>
  <c r="H17" i="102" l="1"/>
  <c r="M13" i="102"/>
  <c r="Q12" i="102"/>
  <c r="Q11" i="102"/>
  <c r="P11" i="102"/>
  <c r="P13" i="102" s="1"/>
  <c r="O11" i="102"/>
  <c r="O13" i="102" s="1"/>
  <c r="N11" i="102"/>
  <c r="N13" i="102" s="1"/>
  <c r="M11" i="102"/>
  <c r="L11" i="102"/>
  <c r="L13" i="102" s="1"/>
  <c r="K11" i="102"/>
  <c r="K13" i="102" s="1"/>
  <c r="Q10" i="102"/>
  <c r="Q9" i="102"/>
  <c r="Q13" i="102" l="1"/>
  <c r="B31" i="102"/>
  <c r="B29" i="102"/>
  <c r="B28" i="102"/>
  <c r="B27" i="102"/>
  <c r="B26" i="102"/>
  <c r="B25" i="102" s="1"/>
  <c r="H25" i="102"/>
  <c r="G25" i="102"/>
  <c r="F25" i="102"/>
  <c r="E25" i="102"/>
  <c r="D25" i="102"/>
  <c r="C25" i="102"/>
  <c r="G16" i="102"/>
  <c r="F16" i="102"/>
  <c r="E16" i="102"/>
  <c r="D16" i="102"/>
  <c r="C16" i="102"/>
  <c r="H11" i="102"/>
  <c r="G11" i="102"/>
  <c r="F11" i="102"/>
  <c r="E11" i="102"/>
  <c r="D11" i="102"/>
  <c r="B11" i="102" s="1"/>
  <c r="C11" i="102"/>
  <c r="H6" i="102"/>
  <c r="G6" i="102"/>
  <c r="F6" i="102"/>
  <c r="E6" i="102"/>
  <c r="D6" i="102"/>
  <c r="C6" i="102"/>
  <c r="F21" i="102" l="1"/>
  <c r="E21" i="102"/>
  <c r="C21" i="102"/>
  <c r="D21" i="102"/>
  <c r="G21" i="102"/>
  <c r="H16" i="102"/>
  <c r="B6" i="102"/>
  <c r="H17" i="101"/>
  <c r="H21" i="102" l="1"/>
  <c r="B21" i="102" s="1"/>
  <c r="J22" i="102" s="1"/>
  <c r="B16" i="102"/>
  <c r="G25" i="101"/>
  <c r="O13" i="101" l="1"/>
  <c r="Q12" i="101"/>
  <c r="P11" i="101"/>
  <c r="P13" i="101" s="1"/>
  <c r="O11" i="101"/>
  <c r="N11" i="101"/>
  <c r="N13" i="101" s="1"/>
  <c r="M11" i="101"/>
  <c r="M13" i="101" s="1"/>
  <c r="L11" i="101"/>
  <c r="L13" i="101" s="1"/>
  <c r="K11" i="101"/>
  <c r="K13" i="101" s="1"/>
  <c r="Q10" i="101"/>
  <c r="Q9" i="101"/>
  <c r="Q13" i="101" l="1"/>
  <c r="Q11" i="101"/>
  <c r="C21" i="101" l="1"/>
  <c r="H11" i="100"/>
  <c r="G11" i="100"/>
  <c r="F11" i="100"/>
  <c r="E11" i="100"/>
  <c r="D11" i="100"/>
  <c r="C11" i="100"/>
  <c r="B11" i="100"/>
  <c r="H16" i="100"/>
  <c r="G16" i="100"/>
  <c r="F16" i="100"/>
  <c r="E16" i="100"/>
  <c r="D16" i="100"/>
  <c r="C16" i="100"/>
  <c r="C21" i="100"/>
  <c r="B21" i="100"/>
  <c r="J22" i="100"/>
  <c r="B31" i="101" l="1"/>
  <c r="B29" i="101"/>
  <c r="B28" i="101"/>
  <c r="B27" i="101"/>
  <c r="B26" i="101"/>
  <c r="H25" i="101"/>
  <c r="F25" i="101"/>
  <c r="E25" i="101"/>
  <c r="D25" i="101"/>
  <c r="C25" i="101"/>
  <c r="H16" i="101"/>
  <c r="B16" i="101" s="1"/>
  <c r="G16" i="101"/>
  <c r="F16" i="101"/>
  <c r="E16" i="101"/>
  <c r="D16" i="101"/>
  <c r="C16" i="101"/>
  <c r="H11" i="101"/>
  <c r="G11" i="101"/>
  <c r="F11" i="101"/>
  <c r="E11" i="101"/>
  <c r="D11" i="101"/>
  <c r="C11" i="101"/>
  <c r="H6" i="101"/>
  <c r="G6" i="101"/>
  <c r="G21" i="101" s="1"/>
  <c r="F6" i="101"/>
  <c r="F21" i="101" s="1"/>
  <c r="E6" i="101"/>
  <c r="D6" i="101"/>
  <c r="C6" i="101"/>
  <c r="H21" i="101" l="1"/>
  <c r="B21" i="101" s="1"/>
  <c r="J22" i="101" s="1"/>
  <c r="B25" i="101"/>
  <c r="D21" i="101"/>
  <c r="B11" i="101"/>
  <c r="E21" i="101"/>
  <c r="B6" i="101"/>
  <c r="B16" i="100" l="1"/>
  <c r="H17" i="100" l="1"/>
  <c r="Q11" i="100"/>
  <c r="P10" i="100"/>
  <c r="P12" i="100" s="1"/>
  <c r="O10" i="100"/>
  <c r="O12" i="100" s="1"/>
  <c r="N10" i="100"/>
  <c r="N12" i="100" s="1"/>
  <c r="M10" i="100"/>
  <c r="M12" i="100" s="1"/>
  <c r="L10" i="100"/>
  <c r="L12" i="100" s="1"/>
  <c r="K10" i="100"/>
  <c r="K12" i="100" s="1"/>
  <c r="Q9" i="100"/>
  <c r="Q8" i="100"/>
  <c r="Q12" i="100" l="1"/>
  <c r="Q10" i="100"/>
  <c r="B31" i="100" l="1"/>
  <c r="B29" i="100"/>
  <c r="B28" i="100"/>
  <c r="B27" i="100"/>
  <c r="B26" i="100"/>
  <c r="H25" i="100"/>
  <c r="G25" i="100"/>
  <c r="F25" i="100"/>
  <c r="E25" i="100"/>
  <c r="D25" i="100"/>
  <c r="C25" i="100"/>
  <c r="H6" i="100"/>
  <c r="G6" i="100"/>
  <c r="F6" i="100"/>
  <c r="E6" i="100"/>
  <c r="D6" i="100"/>
  <c r="C6" i="100"/>
  <c r="D21" i="100" l="1"/>
  <c r="B25" i="100"/>
  <c r="J28" i="100" s="1"/>
  <c r="H21" i="100"/>
  <c r="E21" i="100"/>
  <c r="F21" i="100"/>
  <c r="G21" i="100"/>
  <c r="B6" i="100"/>
  <c r="J22" i="99"/>
  <c r="J34" i="98"/>
  <c r="H17" i="99" l="1"/>
  <c r="J28" i="98" l="1"/>
  <c r="J22" i="98"/>
  <c r="M12" i="99" l="1"/>
  <c r="Q11" i="99"/>
  <c r="P10" i="99"/>
  <c r="Q10" i="99" s="1"/>
  <c r="O10" i="99"/>
  <c r="O12" i="99" s="1"/>
  <c r="N10" i="99"/>
  <c r="N12" i="99" s="1"/>
  <c r="M10" i="99"/>
  <c r="L10" i="99"/>
  <c r="L12" i="99" s="1"/>
  <c r="K10" i="99"/>
  <c r="K12" i="99" s="1"/>
  <c r="Q9" i="99"/>
  <c r="Q8" i="99"/>
  <c r="P12" i="99" l="1"/>
  <c r="Q12" i="99" s="1"/>
  <c r="B31" i="99" l="1"/>
  <c r="J34" i="99" s="1"/>
  <c r="B29" i="99"/>
  <c r="B28" i="99"/>
  <c r="B27" i="99"/>
  <c r="B26" i="99"/>
  <c r="H25" i="99"/>
  <c r="G25" i="99"/>
  <c r="F25" i="99"/>
  <c r="E25" i="99"/>
  <c r="D25" i="99"/>
  <c r="C25" i="99"/>
  <c r="H16" i="99"/>
  <c r="G16" i="99"/>
  <c r="F16" i="99"/>
  <c r="E16" i="99"/>
  <c r="D16" i="99"/>
  <c r="C16" i="99"/>
  <c r="H11" i="99"/>
  <c r="G11" i="99"/>
  <c r="F11" i="99"/>
  <c r="E11" i="99"/>
  <c r="D11" i="99"/>
  <c r="C11" i="99"/>
  <c r="H6" i="99"/>
  <c r="G6" i="99"/>
  <c r="F6" i="99"/>
  <c r="E6" i="99"/>
  <c r="D6" i="99"/>
  <c r="C6" i="99"/>
  <c r="B25" i="99" l="1"/>
  <c r="J28" i="99" s="1"/>
  <c r="F21" i="99"/>
  <c r="G21" i="99"/>
  <c r="B16" i="99"/>
  <c r="B11" i="99"/>
  <c r="H21" i="99"/>
  <c r="D21" i="99"/>
  <c r="C21" i="99"/>
  <c r="E21" i="99"/>
  <c r="B6" i="99"/>
  <c r="L21" i="98"/>
  <c r="B21" i="99" l="1"/>
  <c r="H17" i="98"/>
  <c r="Q11" i="98"/>
  <c r="P10" i="98"/>
  <c r="P12" i="98" s="1"/>
  <c r="O10" i="98"/>
  <c r="O12" i="98" s="1"/>
  <c r="N10" i="98"/>
  <c r="N12" i="98" s="1"/>
  <c r="M10" i="98"/>
  <c r="M12" i="98" s="1"/>
  <c r="L10" i="98"/>
  <c r="L12" i="98" s="1"/>
  <c r="K10" i="98"/>
  <c r="Q10" i="98" s="1"/>
  <c r="Q9" i="98"/>
  <c r="Q8" i="98"/>
  <c r="K12" i="98" l="1"/>
  <c r="Q12" i="98" s="1"/>
  <c r="B31" i="98" l="1"/>
  <c r="B29" i="98"/>
  <c r="B28" i="98"/>
  <c r="B27" i="98"/>
  <c r="B26" i="98"/>
  <c r="H25" i="98"/>
  <c r="G25" i="98"/>
  <c r="F25" i="98"/>
  <c r="E25" i="98"/>
  <c r="D25" i="98"/>
  <c r="C25" i="98"/>
  <c r="B20" i="98"/>
  <c r="B19" i="98"/>
  <c r="B18" i="98"/>
  <c r="H16" i="98"/>
  <c r="B17" i="98"/>
  <c r="G16" i="98"/>
  <c r="G21" i="98" s="1"/>
  <c r="F16" i="98"/>
  <c r="E16" i="98"/>
  <c r="D16" i="98"/>
  <c r="C16" i="98"/>
  <c r="B15" i="98"/>
  <c r="B14" i="98"/>
  <c r="B13" i="98"/>
  <c r="B12" i="98"/>
  <c r="H11" i="98"/>
  <c r="G11" i="98"/>
  <c r="F11" i="98"/>
  <c r="E11" i="98"/>
  <c r="D11" i="98"/>
  <c r="C11" i="98"/>
  <c r="B10" i="98"/>
  <c r="B9" i="98"/>
  <c r="B8" i="98"/>
  <c r="B7" i="98"/>
  <c r="H6" i="98"/>
  <c r="G6" i="98"/>
  <c r="F6" i="98"/>
  <c r="E6" i="98"/>
  <c r="D6" i="98"/>
  <c r="C6" i="98"/>
  <c r="C21" i="98" s="1"/>
  <c r="B25" i="98" l="1"/>
  <c r="B16" i="98"/>
  <c r="D21" i="98"/>
  <c r="E21" i="98"/>
  <c r="B11" i="98"/>
  <c r="B6" i="98"/>
  <c r="H21" i="98"/>
  <c r="F21" i="98"/>
  <c r="B21" i="98" s="1"/>
  <c r="J34" i="97"/>
  <c r="J28" i="97"/>
  <c r="H17" i="97" l="1"/>
  <c r="Q11" i="97"/>
  <c r="P10" i="97"/>
  <c r="P12" i="97" s="1"/>
  <c r="O10" i="97"/>
  <c r="O12" i="97" s="1"/>
  <c r="N10" i="97"/>
  <c r="N12" i="97" s="1"/>
  <c r="M10" i="97"/>
  <c r="M12" i="97" s="1"/>
  <c r="L10" i="97"/>
  <c r="L12" i="97" s="1"/>
  <c r="K10" i="97"/>
  <c r="Q10" i="97" s="1"/>
  <c r="Q9" i="97"/>
  <c r="Q8" i="97"/>
  <c r="K12" i="97" l="1"/>
  <c r="Q12" i="97" s="1"/>
  <c r="B31" i="97" l="1"/>
  <c r="B29" i="97"/>
  <c r="B28" i="97"/>
  <c r="B27" i="97"/>
  <c r="B26" i="97"/>
  <c r="H25" i="97"/>
  <c r="G25" i="97"/>
  <c r="F25" i="97"/>
  <c r="E25" i="97"/>
  <c r="D25" i="97"/>
  <c r="C25" i="97"/>
  <c r="B20" i="97"/>
  <c r="B19" i="97"/>
  <c r="B18" i="97"/>
  <c r="B17" i="97"/>
  <c r="G16" i="97"/>
  <c r="F16" i="97"/>
  <c r="E16" i="97"/>
  <c r="D16" i="97"/>
  <c r="C16" i="97"/>
  <c r="B15" i="97"/>
  <c r="B14" i="97"/>
  <c r="B13" i="97"/>
  <c r="B12" i="97"/>
  <c r="H11" i="97"/>
  <c r="G11" i="97"/>
  <c r="F11" i="97"/>
  <c r="E11" i="97"/>
  <c r="D11" i="97"/>
  <c r="C11" i="97"/>
  <c r="B10" i="97"/>
  <c r="B9" i="97"/>
  <c r="B8" i="97"/>
  <c r="B7" i="97"/>
  <c r="H6" i="97"/>
  <c r="G6" i="97"/>
  <c r="F6" i="97"/>
  <c r="E6" i="97"/>
  <c r="D6" i="97"/>
  <c r="D21" i="97" s="1"/>
  <c r="C6" i="97"/>
  <c r="C21" i="97" s="1"/>
  <c r="B25" i="97" l="1"/>
  <c r="E21" i="97"/>
  <c r="G21" i="97"/>
  <c r="F21" i="97"/>
  <c r="B11" i="97"/>
  <c r="B6" i="97"/>
  <c r="H16" i="97"/>
  <c r="J28" i="96"/>
  <c r="B16" i="97" l="1"/>
  <c r="H21" i="97"/>
  <c r="B21" i="97" s="1"/>
  <c r="J22" i="97" s="1"/>
  <c r="H17" i="96"/>
  <c r="Q11" i="96" l="1"/>
  <c r="P10" i="96"/>
  <c r="P12" i="96" s="1"/>
  <c r="O10" i="96"/>
  <c r="O12" i="96" s="1"/>
  <c r="N10" i="96"/>
  <c r="N12" i="96" s="1"/>
  <c r="M10" i="96"/>
  <c r="M12" i="96" s="1"/>
  <c r="L10" i="96"/>
  <c r="L12" i="96" s="1"/>
  <c r="K10" i="96"/>
  <c r="K12" i="96" s="1"/>
  <c r="Q12" i="96" s="1"/>
  <c r="Q9" i="96"/>
  <c r="Q8" i="96"/>
  <c r="Q10" i="96" l="1"/>
  <c r="B31" i="96" l="1"/>
  <c r="B29" i="96"/>
  <c r="B28" i="96"/>
  <c r="B27" i="96"/>
  <c r="B26" i="96"/>
  <c r="H25" i="96"/>
  <c r="G25" i="96"/>
  <c r="F25" i="96"/>
  <c r="E25" i="96"/>
  <c r="D25" i="96"/>
  <c r="C25" i="96"/>
  <c r="B20" i="96"/>
  <c r="B19" i="96"/>
  <c r="B18" i="96"/>
  <c r="B17" i="96"/>
  <c r="G16" i="96"/>
  <c r="F16" i="96"/>
  <c r="E16" i="96"/>
  <c r="D16" i="96"/>
  <c r="C16" i="96"/>
  <c r="B15" i="96"/>
  <c r="B14" i="96"/>
  <c r="B13" i="96"/>
  <c r="B12" i="96"/>
  <c r="H11" i="96"/>
  <c r="G11" i="96"/>
  <c r="F11" i="96"/>
  <c r="E11" i="96"/>
  <c r="D11" i="96"/>
  <c r="C11" i="96"/>
  <c r="B10" i="96"/>
  <c r="B9" i="96"/>
  <c r="B8" i="96"/>
  <c r="B7" i="96"/>
  <c r="H6" i="96"/>
  <c r="G6" i="96"/>
  <c r="F6" i="96"/>
  <c r="F21" i="96" s="1"/>
  <c r="E6" i="96"/>
  <c r="E21" i="96" s="1"/>
  <c r="D6" i="96"/>
  <c r="C6" i="96"/>
  <c r="D21" i="96" l="1"/>
  <c r="G21" i="96"/>
  <c r="B11" i="96"/>
  <c r="C21" i="96"/>
  <c r="B25" i="96"/>
  <c r="B6" i="96"/>
  <c r="H16" i="96"/>
  <c r="H21" i="96" l="1"/>
  <c r="B21" i="96" s="1"/>
  <c r="J22" i="96" s="1"/>
  <c r="B16" i="96"/>
  <c r="H17" i="95" l="1"/>
  <c r="Q11" i="95" l="1"/>
  <c r="P10" i="95"/>
  <c r="P12" i="95" s="1"/>
  <c r="O10" i="95"/>
  <c r="O12" i="95" s="1"/>
  <c r="N10" i="95"/>
  <c r="N12" i="95" s="1"/>
  <c r="M10" i="95"/>
  <c r="M12" i="95" s="1"/>
  <c r="L10" i="95"/>
  <c r="L12" i="95" s="1"/>
  <c r="K10" i="95"/>
  <c r="Q10" i="95" s="1"/>
  <c r="Q9" i="95"/>
  <c r="Q8" i="95"/>
  <c r="K12" i="95" l="1"/>
  <c r="Q12" i="95" s="1"/>
  <c r="B31" i="95" l="1"/>
  <c r="B29" i="95"/>
  <c r="B28" i="95"/>
  <c r="B27" i="95"/>
  <c r="B26" i="95"/>
  <c r="H25" i="95"/>
  <c r="G25" i="95"/>
  <c r="F25" i="95"/>
  <c r="E25" i="95"/>
  <c r="D25" i="95"/>
  <c r="C25" i="95"/>
  <c r="B20" i="95"/>
  <c r="B19" i="95"/>
  <c r="B18" i="95"/>
  <c r="B17" i="95"/>
  <c r="H16" i="95"/>
  <c r="G16" i="95"/>
  <c r="F16" i="95"/>
  <c r="E16" i="95"/>
  <c r="D16" i="95"/>
  <c r="C16" i="95"/>
  <c r="B15" i="95"/>
  <c r="B14" i="95"/>
  <c r="B13" i="95"/>
  <c r="B12" i="95"/>
  <c r="H11" i="95"/>
  <c r="G11" i="95"/>
  <c r="F11" i="95"/>
  <c r="E11" i="95"/>
  <c r="D11" i="95"/>
  <c r="C11" i="95"/>
  <c r="B10" i="95"/>
  <c r="B9" i="95"/>
  <c r="B8" i="95"/>
  <c r="B7" i="95"/>
  <c r="H6" i="95"/>
  <c r="G6" i="95"/>
  <c r="G21" i="95" s="1"/>
  <c r="F6" i="95"/>
  <c r="E6" i="95"/>
  <c r="D6" i="95"/>
  <c r="C6" i="95"/>
  <c r="D21" i="95" l="1"/>
  <c r="E21" i="95"/>
  <c r="B25" i="95"/>
  <c r="H21" i="95"/>
  <c r="F21" i="95"/>
  <c r="B16" i="95"/>
  <c r="C21" i="95"/>
  <c r="B11" i="95"/>
  <c r="B6" i="95"/>
  <c r="H17" i="94"/>
  <c r="Q12" i="94"/>
  <c r="Q10" i="94"/>
  <c r="Q9" i="94"/>
  <c r="B21" i="95" l="1"/>
  <c r="J22" i="95" s="1"/>
  <c r="B32" i="94"/>
  <c r="B31" i="94" l="1"/>
  <c r="B29" i="94"/>
  <c r="B28" i="94"/>
  <c r="B27" i="94"/>
  <c r="B26" i="94"/>
  <c r="H25" i="94"/>
  <c r="G25" i="94"/>
  <c r="F25" i="94"/>
  <c r="E25" i="94"/>
  <c r="D25" i="94"/>
  <c r="C25" i="94"/>
  <c r="B20" i="94"/>
  <c r="B19" i="94"/>
  <c r="B18" i="94"/>
  <c r="B17" i="94"/>
  <c r="G16" i="94"/>
  <c r="F16" i="94"/>
  <c r="E16" i="94"/>
  <c r="D16" i="94"/>
  <c r="C16" i="94"/>
  <c r="B15" i="94"/>
  <c r="B14" i="94"/>
  <c r="B13" i="94"/>
  <c r="B12" i="94"/>
  <c r="H11" i="94"/>
  <c r="G11" i="94"/>
  <c r="F11" i="94"/>
  <c r="E11" i="94"/>
  <c r="E21" i="94" s="1"/>
  <c r="D11" i="94"/>
  <c r="C11" i="94"/>
  <c r="B10" i="94"/>
  <c r="B9" i="94"/>
  <c r="B8" i="94"/>
  <c r="B7" i="94"/>
  <c r="H6" i="94"/>
  <c r="G6" i="94"/>
  <c r="B6" i="94" s="1"/>
  <c r="F6" i="94"/>
  <c r="F21" i="94" s="1"/>
  <c r="E6" i="94"/>
  <c r="D6" i="94"/>
  <c r="C6" i="94"/>
  <c r="B25" i="94" l="1"/>
  <c r="B11" i="94"/>
  <c r="C21" i="94"/>
  <c r="D21" i="94"/>
  <c r="G21" i="94"/>
  <c r="H16" i="94"/>
  <c r="B16" i="94" s="1"/>
  <c r="B32" i="93"/>
  <c r="H21" i="94" l="1"/>
  <c r="B21" i="94"/>
  <c r="J22" i="94" s="1"/>
  <c r="H17" i="93"/>
  <c r="H16" i="93" l="1"/>
  <c r="G16" i="93"/>
  <c r="F16" i="93"/>
  <c r="E16" i="93"/>
  <c r="D16" i="93"/>
  <c r="C16" i="93"/>
  <c r="H11" i="93"/>
  <c r="G11" i="93"/>
  <c r="F11" i="93"/>
  <c r="B11" i="93" s="1"/>
  <c r="E11" i="93"/>
  <c r="D11" i="93"/>
  <c r="C11" i="93"/>
  <c r="H6" i="93"/>
  <c r="B6" i="93" s="1"/>
  <c r="G6" i="93"/>
  <c r="F6" i="93"/>
  <c r="E6" i="93"/>
  <c r="D6" i="93"/>
  <c r="C6" i="93"/>
  <c r="B31" i="93"/>
  <c r="B29" i="93"/>
  <c r="B28" i="93"/>
  <c r="B27" i="93"/>
  <c r="B26" i="93"/>
  <c r="H25" i="93"/>
  <c r="G25" i="93"/>
  <c r="F25" i="93"/>
  <c r="E25" i="93"/>
  <c r="D25" i="93"/>
  <c r="C25" i="93"/>
  <c r="G21" i="93"/>
  <c r="D21" i="93"/>
  <c r="B20" i="93"/>
  <c r="B19" i="93"/>
  <c r="B18" i="93"/>
  <c r="B17" i="93"/>
  <c r="B15" i="93"/>
  <c r="B14" i="93"/>
  <c r="B13" i="93"/>
  <c r="B12" i="93"/>
  <c r="B10" i="93"/>
  <c r="B9" i="93"/>
  <c r="B8" i="93"/>
  <c r="B7" i="93"/>
  <c r="F21" i="93"/>
  <c r="E21" i="93"/>
  <c r="C21" i="93"/>
  <c r="B25" i="93" l="1"/>
  <c r="H21" i="93"/>
  <c r="B21" i="93" s="1"/>
  <c r="J22" i="93" s="1"/>
  <c r="B32" i="92"/>
  <c r="B16" i="93" l="1"/>
  <c r="H17" i="92"/>
  <c r="H16" i="92" s="1"/>
  <c r="Q11" i="92"/>
  <c r="P10" i="92"/>
  <c r="P12" i="92" s="1"/>
  <c r="O10" i="92"/>
  <c r="O12" i="92" s="1"/>
  <c r="N10" i="92"/>
  <c r="N12" i="92" s="1"/>
  <c r="M10" i="92"/>
  <c r="M12" i="92" s="1"/>
  <c r="L10" i="92"/>
  <c r="L12" i="92" s="1"/>
  <c r="K10" i="92"/>
  <c r="K12" i="92" s="1"/>
  <c r="Q9" i="92"/>
  <c r="Q8" i="92"/>
  <c r="B31" i="92"/>
  <c r="G16" i="92"/>
  <c r="F16" i="92"/>
  <c r="E16" i="92"/>
  <c r="D16" i="92"/>
  <c r="C16" i="92"/>
  <c r="H11" i="92"/>
  <c r="G11" i="92"/>
  <c r="F11" i="92"/>
  <c r="E11" i="92"/>
  <c r="D11" i="92"/>
  <c r="C11" i="92"/>
  <c r="H6" i="92"/>
  <c r="G6" i="92"/>
  <c r="F6" i="92"/>
  <c r="E6" i="92"/>
  <c r="D6" i="92"/>
  <c r="C6" i="92"/>
  <c r="Q12" i="92" l="1"/>
  <c r="Q10" i="92"/>
  <c r="B29" i="92" l="1"/>
  <c r="B28" i="92"/>
  <c r="B27" i="92"/>
  <c r="B26" i="92"/>
  <c r="H25" i="92"/>
  <c r="G25" i="92"/>
  <c r="F25" i="92"/>
  <c r="E25" i="92"/>
  <c r="D25" i="92"/>
  <c r="C25" i="92"/>
  <c r="B20" i="92"/>
  <c r="B19" i="92"/>
  <c r="B18" i="92"/>
  <c r="B17" i="92"/>
  <c r="H21" i="92"/>
  <c r="G21" i="92"/>
  <c r="F21" i="92"/>
  <c r="B16" i="92"/>
  <c r="B15" i="92"/>
  <c r="B14" i="92"/>
  <c r="B13" i="92"/>
  <c r="B12" i="92"/>
  <c r="B11" i="92"/>
  <c r="B10" i="92"/>
  <c r="B9" i="92"/>
  <c r="B8" i="92"/>
  <c r="B7" i="92"/>
  <c r="E21" i="92"/>
  <c r="D21" i="92"/>
  <c r="C21" i="92"/>
  <c r="B25" i="92" l="1"/>
  <c r="B21" i="92"/>
  <c r="J22" i="92" s="1"/>
  <c r="B6" i="92"/>
  <c r="H17" i="91"/>
  <c r="H16" i="91" l="1"/>
  <c r="G16" i="91"/>
  <c r="F16" i="91"/>
  <c r="E16" i="91"/>
  <c r="D16" i="91"/>
  <c r="C16" i="91"/>
  <c r="H11" i="91"/>
  <c r="G11" i="91"/>
  <c r="F11" i="91"/>
  <c r="B11" i="91" s="1"/>
  <c r="E11" i="91"/>
  <c r="D11" i="91"/>
  <c r="C11" i="91"/>
  <c r="H6" i="91"/>
  <c r="G6" i="91"/>
  <c r="G21" i="91" s="1"/>
  <c r="F6" i="91"/>
  <c r="F21" i="91" s="1"/>
  <c r="E6" i="91"/>
  <c r="D6" i="91"/>
  <c r="C6" i="91"/>
  <c r="B31" i="91"/>
  <c r="B29" i="91"/>
  <c r="B28" i="91"/>
  <c r="B27" i="91"/>
  <c r="B26" i="91"/>
  <c r="H25" i="91"/>
  <c r="G25" i="91"/>
  <c r="F25" i="91"/>
  <c r="E25" i="91"/>
  <c r="D25" i="91"/>
  <c r="C25" i="91"/>
  <c r="B20" i="91"/>
  <c r="B19" i="91"/>
  <c r="B18" i="91"/>
  <c r="B17" i="91"/>
  <c r="C21" i="91"/>
  <c r="B15" i="91"/>
  <c r="B14" i="91"/>
  <c r="B13" i="91"/>
  <c r="B12" i="91"/>
  <c r="B10" i="91"/>
  <c r="B9" i="91"/>
  <c r="B8" i="91"/>
  <c r="B7" i="91"/>
  <c r="E21" i="91"/>
  <c r="D21" i="91"/>
  <c r="B25" i="91" l="1"/>
  <c r="B16" i="91"/>
  <c r="H21" i="91"/>
  <c r="B21" i="91" s="1"/>
  <c r="J22" i="91" s="1"/>
  <c r="B6" i="91"/>
  <c r="H17" i="90"/>
  <c r="H16" i="90" s="1"/>
  <c r="H21" i="90" s="1"/>
  <c r="G16" i="90"/>
  <c r="F16" i="90"/>
  <c r="E16" i="90"/>
  <c r="D16" i="90"/>
  <c r="C16" i="90"/>
  <c r="H11" i="90"/>
  <c r="G11" i="90"/>
  <c r="F11" i="90"/>
  <c r="E11" i="90"/>
  <c r="B11" i="90" s="1"/>
  <c r="D11" i="90"/>
  <c r="C11" i="90"/>
  <c r="H6" i="90"/>
  <c r="G6" i="90"/>
  <c r="F6" i="90"/>
  <c r="E6" i="90"/>
  <c r="E21" i="90" s="1"/>
  <c r="D6" i="90"/>
  <c r="C6" i="90"/>
  <c r="B31" i="90"/>
  <c r="B29" i="90"/>
  <c r="B28" i="90"/>
  <c r="B27" i="90"/>
  <c r="B26" i="90"/>
  <c r="H25" i="90"/>
  <c r="G25" i="90"/>
  <c r="F25" i="90"/>
  <c r="E25" i="90"/>
  <c r="D25" i="90"/>
  <c r="C25" i="90"/>
  <c r="G21" i="90"/>
  <c r="F21" i="90"/>
  <c r="B20" i="90"/>
  <c r="B19" i="90"/>
  <c r="B18" i="90"/>
  <c r="B17" i="90"/>
  <c r="B15" i="90"/>
  <c r="B14" i="90"/>
  <c r="B13" i="90"/>
  <c r="B12" i="90"/>
  <c r="B10" i="90"/>
  <c r="B9" i="90"/>
  <c r="B8" i="90"/>
  <c r="B7" i="90"/>
  <c r="C21" i="90"/>
  <c r="B16" i="90" l="1"/>
  <c r="B25" i="90"/>
  <c r="B6" i="90"/>
  <c r="D21" i="90"/>
  <c r="B21" i="90" s="1"/>
  <c r="J22" i="90" s="1"/>
  <c r="H17" i="89"/>
  <c r="O12" i="89"/>
  <c r="N12" i="89"/>
  <c r="Q11" i="89"/>
  <c r="P10" i="89"/>
  <c r="P12" i="89" s="1"/>
  <c r="O10" i="89"/>
  <c r="N10" i="89"/>
  <c r="M10" i="89"/>
  <c r="M12" i="89" s="1"/>
  <c r="L10" i="89"/>
  <c r="L12" i="89" s="1"/>
  <c r="K10" i="89"/>
  <c r="K12" i="89" s="1"/>
  <c r="Q9" i="89"/>
  <c r="Q8" i="89"/>
  <c r="Q12" i="89" l="1"/>
  <c r="Q10" i="89"/>
  <c r="H16" i="89" l="1"/>
  <c r="G16" i="89"/>
  <c r="F16" i="89"/>
  <c r="E16" i="89"/>
  <c r="D16" i="89"/>
  <c r="C16" i="89"/>
  <c r="H11" i="89"/>
  <c r="G11" i="89"/>
  <c r="F11" i="89"/>
  <c r="E11" i="89"/>
  <c r="D11" i="89"/>
  <c r="C11" i="89"/>
  <c r="H6" i="89"/>
  <c r="G6" i="89"/>
  <c r="G21" i="89" s="1"/>
  <c r="F6" i="89"/>
  <c r="F21" i="89" s="1"/>
  <c r="E6" i="89"/>
  <c r="E21" i="89" s="1"/>
  <c r="D6" i="89"/>
  <c r="D21" i="89" s="1"/>
  <c r="C6" i="89"/>
  <c r="C21" i="89" s="1"/>
  <c r="H21" i="89" l="1"/>
  <c r="B31" i="89"/>
  <c r="B29" i="89"/>
  <c r="B28" i="89"/>
  <c r="B27" i="89"/>
  <c r="B26" i="89"/>
  <c r="H25" i="89"/>
  <c r="G25" i="89"/>
  <c r="F25" i="89"/>
  <c r="E25" i="89"/>
  <c r="D25" i="89"/>
  <c r="C25" i="89"/>
  <c r="B20" i="89"/>
  <c r="B19" i="89"/>
  <c r="B18" i="89"/>
  <c r="B17" i="89"/>
  <c r="B16" i="89"/>
  <c r="B15" i="89"/>
  <c r="B14" i="89"/>
  <c r="B13" i="89"/>
  <c r="B12" i="89"/>
  <c r="B11" i="89"/>
  <c r="B10" i="89"/>
  <c r="B9" i="89"/>
  <c r="B8" i="89"/>
  <c r="B7" i="89"/>
  <c r="B6" i="89"/>
  <c r="B25" i="89" l="1"/>
  <c r="B21" i="89"/>
  <c r="J22" i="89" s="1"/>
  <c r="H17" i="88"/>
  <c r="N12" i="88"/>
  <c r="M12" i="88"/>
  <c r="Q11" i="88"/>
  <c r="P10" i="88"/>
  <c r="P12" i="88" s="1"/>
  <c r="O10" i="88"/>
  <c r="O12" i="88" s="1"/>
  <c r="N10" i="88"/>
  <c r="M10" i="88"/>
  <c r="L10" i="88"/>
  <c r="L12" i="88" s="1"/>
  <c r="K10" i="88"/>
  <c r="K12" i="88" s="1"/>
  <c r="Q9" i="88"/>
  <c r="Q8" i="88"/>
  <c r="Q12" i="88" l="1"/>
  <c r="Q10" i="88"/>
  <c r="H16" i="88" l="1"/>
  <c r="G16" i="88"/>
  <c r="F16" i="88"/>
  <c r="E16" i="88"/>
  <c r="D16" i="88"/>
  <c r="C16" i="88"/>
  <c r="H11" i="88"/>
  <c r="G11" i="88"/>
  <c r="F11" i="88"/>
  <c r="E11" i="88"/>
  <c r="D11" i="88"/>
  <c r="C11" i="88"/>
  <c r="H6" i="88"/>
  <c r="G6" i="88"/>
  <c r="F6" i="88"/>
  <c r="E6" i="88"/>
  <c r="D6" i="88"/>
  <c r="C6" i="88"/>
  <c r="B31" i="88" l="1"/>
  <c r="B29" i="88"/>
  <c r="B28" i="88"/>
  <c r="B27" i="88"/>
  <c r="B26" i="88"/>
  <c r="H25" i="88"/>
  <c r="G25" i="88"/>
  <c r="F25" i="88"/>
  <c r="E25" i="88"/>
  <c r="D25" i="88"/>
  <c r="C25" i="88"/>
  <c r="B20" i="88"/>
  <c r="B19" i="88"/>
  <c r="B18" i="88"/>
  <c r="B17" i="88"/>
  <c r="H21" i="88"/>
  <c r="G21" i="88"/>
  <c r="F21" i="88"/>
  <c r="B16" i="88"/>
  <c r="B15" i="88"/>
  <c r="B14" i="88"/>
  <c r="B13" i="88"/>
  <c r="B12" i="88"/>
  <c r="B11" i="88"/>
  <c r="B10" i="88"/>
  <c r="B9" i="88"/>
  <c r="B8" i="88"/>
  <c r="B7" i="88"/>
  <c r="D21" i="88"/>
  <c r="C21" i="88"/>
  <c r="B25" i="88" l="1"/>
  <c r="B6" i="88"/>
  <c r="E21" i="88"/>
  <c r="B21" i="88" s="1"/>
  <c r="J22" i="88" s="1"/>
  <c r="H17" i="87"/>
  <c r="H16" i="87" l="1"/>
  <c r="G16" i="87"/>
  <c r="F16" i="87"/>
  <c r="E16" i="87"/>
  <c r="D16" i="87"/>
  <c r="C16" i="87"/>
  <c r="H11" i="87"/>
  <c r="G11" i="87"/>
  <c r="F11" i="87"/>
  <c r="E11" i="87"/>
  <c r="B11" i="87" s="1"/>
  <c r="D11" i="87"/>
  <c r="C11" i="87"/>
  <c r="H6" i="87"/>
  <c r="G6" i="87"/>
  <c r="G21" i="87" s="1"/>
  <c r="F6" i="87"/>
  <c r="F21" i="87" s="1"/>
  <c r="E6" i="87"/>
  <c r="D6" i="87"/>
  <c r="C6" i="87"/>
  <c r="B31" i="87"/>
  <c r="B29" i="87"/>
  <c r="B28" i="87"/>
  <c r="B27" i="87"/>
  <c r="B26" i="87"/>
  <c r="H25" i="87"/>
  <c r="G25" i="87"/>
  <c r="F25" i="87"/>
  <c r="E25" i="87"/>
  <c r="D25" i="87"/>
  <c r="C25" i="87"/>
  <c r="B20" i="87"/>
  <c r="B19" i="87"/>
  <c r="B18" i="87"/>
  <c r="B17" i="87"/>
  <c r="H21" i="87"/>
  <c r="B15" i="87"/>
  <c r="B14" i="87"/>
  <c r="B13" i="87"/>
  <c r="B12" i="87"/>
  <c r="B10" i="87"/>
  <c r="B9" i="87"/>
  <c r="B8" i="87"/>
  <c r="B7" i="87"/>
  <c r="D21" i="87"/>
  <c r="C21" i="87"/>
  <c r="B16" i="87" l="1"/>
  <c r="B25" i="87"/>
  <c r="E21" i="87"/>
  <c r="B21" i="87" s="1"/>
  <c r="J22" i="87" s="1"/>
  <c r="B6" i="87"/>
  <c r="H17" i="86"/>
  <c r="H16" i="86" l="1"/>
  <c r="G16" i="86"/>
  <c r="F16" i="86"/>
  <c r="E16" i="86"/>
  <c r="D16" i="86"/>
  <c r="C16" i="86"/>
  <c r="H11" i="86"/>
  <c r="G11" i="86"/>
  <c r="F11" i="86"/>
  <c r="E11" i="86"/>
  <c r="D11" i="86"/>
  <c r="C11" i="86"/>
  <c r="H6" i="86"/>
  <c r="G6" i="86"/>
  <c r="F6" i="86"/>
  <c r="E6" i="86"/>
  <c r="D6" i="86"/>
  <c r="C6" i="86"/>
  <c r="B31" i="86" l="1"/>
  <c r="B29" i="86"/>
  <c r="B28" i="86"/>
  <c r="B27" i="86"/>
  <c r="B26" i="86"/>
  <c r="H25" i="86"/>
  <c r="G25" i="86"/>
  <c r="F25" i="86"/>
  <c r="E25" i="86"/>
  <c r="D25" i="86"/>
  <c r="C25" i="86"/>
  <c r="B20" i="86"/>
  <c r="B19" i="86"/>
  <c r="B18" i="86"/>
  <c r="B17" i="86"/>
  <c r="H21" i="86"/>
  <c r="B16" i="86"/>
  <c r="B15" i="86"/>
  <c r="B14" i="86"/>
  <c r="B13" i="86"/>
  <c r="B12" i="86"/>
  <c r="B11" i="86"/>
  <c r="C21" i="86"/>
  <c r="B10" i="86"/>
  <c r="B9" i="86"/>
  <c r="B8" i="86"/>
  <c r="B7" i="86"/>
  <c r="F21" i="86"/>
  <c r="E21" i="86"/>
  <c r="B25" i="86" l="1"/>
  <c r="G21" i="86"/>
  <c r="B6" i="86"/>
  <c r="D21" i="86"/>
  <c r="B21" i="86" s="1"/>
  <c r="J22" i="86" s="1"/>
  <c r="Q14" i="85"/>
  <c r="J22" i="85"/>
  <c r="H17" i="85"/>
  <c r="N12" i="85"/>
  <c r="M12" i="85"/>
  <c r="Q11" i="85"/>
  <c r="P10" i="85"/>
  <c r="P12" i="85" s="1"/>
  <c r="O10" i="85"/>
  <c r="O12" i="85" s="1"/>
  <c r="N10" i="85"/>
  <c r="M10" i="85"/>
  <c r="L10" i="85"/>
  <c r="L12" i="85" s="1"/>
  <c r="K10" i="85"/>
  <c r="K12" i="85" s="1"/>
  <c r="Q9" i="85"/>
  <c r="Q8" i="85"/>
  <c r="Q12" i="85" l="1"/>
  <c r="Q10" i="85"/>
  <c r="H16" i="85" l="1"/>
  <c r="G16" i="85"/>
  <c r="F16" i="85"/>
  <c r="E16" i="85"/>
  <c r="D16" i="85"/>
  <c r="C16" i="85"/>
  <c r="H11" i="85"/>
  <c r="G11" i="85"/>
  <c r="F11" i="85"/>
  <c r="E11" i="85"/>
  <c r="D11" i="85"/>
  <c r="C11" i="85"/>
  <c r="H6" i="85"/>
  <c r="G6" i="85"/>
  <c r="F6" i="85"/>
  <c r="E6" i="85"/>
  <c r="D6" i="85"/>
  <c r="C6" i="85"/>
  <c r="B31" i="85" l="1"/>
  <c r="B29" i="85"/>
  <c r="B28" i="85"/>
  <c r="B27" i="85"/>
  <c r="B26" i="85"/>
  <c r="H25" i="85"/>
  <c r="G25" i="85"/>
  <c r="F25" i="85"/>
  <c r="E25" i="85"/>
  <c r="D25" i="85"/>
  <c r="C25" i="85"/>
  <c r="B20" i="85"/>
  <c r="B19" i="85"/>
  <c r="B18" i="85"/>
  <c r="B17" i="85"/>
  <c r="B16" i="85"/>
  <c r="B15" i="85"/>
  <c r="B14" i="85"/>
  <c r="B13" i="85"/>
  <c r="B12" i="85"/>
  <c r="B11" i="85"/>
  <c r="C21" i="85"/>
  <c r="B10" i="85"/>
  <c r="B9" i="85"/>
  <c r="B8" i="85"/>
  <c r="B7" i="85"/>
  <c r="H21" i="85"/>
  <c r="G21" i="85"/>
  <c r="F21" i="85"/>
  <c r="E21" i="85"/>
  <c r="D21" i="85"/>
  <c r="B25" i="85" l="1"/>
  <c r="B21" i="85"/>
  <c r="B6" i="85"/>
  <c r="B31" i="84"/>
  <c r="H17" i="84" l="1"/>
  <c r="K21" i="84"/>
  <c r="Q11" i="84" l="1"/>
  <c r="P10" i="84"/>
  <c r="P12" i="84" s="1"/>
  <c r="O10" i="84"/>
  <c r="O12" i="84" s="1"/>
  <c r="N10" i="84"/>
  <c r="N12" i="84" s="1"/>
  <c r="M10" i="84"/>
  <c r="M12" i="84" s="1"/>
  <c r="L10" i="84"/>
  <c r="K10" i="84"/>
  <c r="K12" i="84" s="1"/>
  <c r="Q9" i="84"/>
  <c r="Q8" i="84"/>
  <c r="Q10" i="84" l="1"/>
  <c r="L12" i="84"/>
  <c r="Q12" i="84" s="1"/>
  <c r="B29" i="84"/>
  <c r="B28" i="84"/>
  <c r="B27" i="84"/>
  <c r="B26" i="84"/>
  <c r="H25" i="84"/>
  <c r="G25" i="84"/>
  <c r="F25" i="84"/>
  <c r="E25" i="84"/>
  <c r="D25" i="84"/>
  <c r="C25" i="84"/>
  <c r="B20" i="84"/>
  <c r="B19" i="84"/>
  <c r="B18" i="84"/>
  <c r="B17" i="84"/>
  <c r="H16" i="84"/>
  <c r="G16" i="84"/>
  <c r="F16" i="84"/>
  <c r="E16" i="84"/>
  <c r="D16" i="84"/>
  <c r="C16" i="84"/>
  <c r="B15" i="84"/>
  <c r="B14" i="84"/>
  <c r="B13" i="84"/>
  <c r="B12" i="84"/>
  <c r="H11" i="84"/>
  <c r="G11" i="84"/>
  <c r="F11" i="84"/>
  <c r="E11" i="84"/>
  <c r="D11" i="84"/>
  <c r="C11" i="84"/>
  <c r="B10" i="84"/>
  <c r="B9" i="84"/>
  <c r="B8" i="84"/>
  <c r="B7" i="84"/>
  <c r="H6" i="84"/>
  <c r="G6" i="84"/>
  <c r="F6" i="84"/>
  <c r="E6" i="84"/>
  <c r="D6" i="84"/>
  <c r="C6" i="84"/>
  <c r="C21" i="84" l="1"/>
  <c r="B16" i="84"/>
  <c r="G21" i="84"/>
  <c r="B25" i="84"/>
  <c r="F21" i="84"/>
  <c r="B11" i="84"/>
  <c r="E21" i="84"/>
  <c r="H21" i="84"/>
  <c r="B6" i="84"/>
  <c r="D21" i="84"/>
  <c r="H17" i="83"/>
  <c r="R11" i="83"/>
  <c r="Q10" i="83"/>
  <c r="Q12" i="83" s="1"/>
  <c r="P10" i="83"/>
  <c r="P12" i="83" s="1"/>
  <c r="O10" i="83"/>
  <c r="O12" i="83" s="1"/>
  <c r="N10" i="83"/>
  <c r="N12" i="83" s="1"/>
  <c r="M10" i="83"/>
  <c r="M12" i="83" s="1"/>
  <c r="L10" i="83"/>
  <c r="L12" i="83" s="1"/>
  <c r="R9" i="83"/>
  <c r="R8" i="83"/>
  <c r="B21" i="84" l="1"/>
  <c r="R12" i="83"/>
  <c r="R10" i="83"/>
  <c r="H16" i="83" l="1"/>
  <c r="G16" i="83"/>
  <c r="F16" i="83"/>
  <c r="E16" i="83"/>
  <c r="D16" i="83"/>
  <c r="C16" i="83"/>
  <c r="H11" i="83"/>
  <c r="G11" i="83"/>
  <c r="F11" i="83"/>
  <c r="E11" i="83"/>
  <c r="D11" i="83"/>
  <c r="C11" i="83"/>
  <c r="H6" i="83"/>
  <c r="G6" i="83"/>
  <c r="G21" i="83" s="1"/>
  <c r="F6" i="83"/>
  <c r="F21" i="83" s="1"/>
  <c r="E6" i="83"/>
  <c r="E21" i="83" s="1"/>
  <c r="D6" i="83"/>
  <c r="D21" i="83" s="1"/>
  <c r="C6" i="83"/>
  <c r="C21" i="83" s="1"/>
  <c r="H21" i="83" l="1"/>
  <c r="B37" i="83" l="1"/>
  <c r="B31" i="83" s="1"/>
  <c r="B29" i="83"/>
  <c r="B28" i="83"/>
  <c r="B27" i="83"/>
  <c r="B26" i="83"/>
  <c r="H25" i="83"/>
  <c r="G25" i="83"/>
  <c r="F25" i="83"/>
  <c r="E25" i="83"/>
  <c r="D25" i="83"/>
  <c r="C25" i="83"/>
  <c r="B20" i="83"/>
  <c r="B19" i="83"/>
  <c r="B18" i="83"/>
  <c r="B17" i="83"/>
  <c r="B15" i="83"/>
  <c r="B14" i="83"/>
  <c r="B13" i="83"/>
  <c r="B12" i="83"/>
  <c r="B11" i="83"/>
  <c r="B10" i="83"/>
  <c r="B9" i="83"/>
  <c r="B8" i="83"/>
  <c r="B7" i="83"/>
  <c r="B6" i="83"/>
  <c r="B25" i="83" l="1"/>
  <c r="B21" i="83"/>
  <c r="I22" i="83" s="1"/>
  <c r="B16" i="83"/>
  <c r="B37" i="82"/>
  <c r="B32" i="82"/>
  <c r="B37" i="80"/>
  <c r="B32" i="80"/>
  <c r="H17" i="82" l="1"/>
  <c r="AA14" i="82"/>
  <c r="Z13" i="82"/>
  <c r="Z15" i="82" s="1"/>
  <c r="Y13" i="82"/>
  <c r="Y15" i="82" s="1"/>
  <c r="X13" i="82"/>
  <c r="X15" i="82" s="1"/>
  <c r="W13" i="82"/>
  <c r="W15" i="82" s="1"/>
  <c r="V13" i="82"/>
  <c r="V15" i="82" s="1"/>
  <c r="U13" i="82"/>
  <c r="AA12" i="82"/>
  <c r="AA11" i="82"/>
  <c r="AA13" i="82" l="1"/>
  <c r="U15" i="82"/>
  <c r="AA15" i="82" s="1"/>
  <c r="B31" i="82" l="1"/>
  <c r="H16" i="82"/>
  <c r="G16" i="82"/>
  <c r="F16" i="82"/>
  <c r="E16" i="82"/>
  <c r="D16" i="82"/>
  <c r="C16" i="82"/>
  <c r="H11" i="82"/>
  <c r="G11" i="82"/>
  <c r="F11" i="82"/>
  <c r="E11" i="82"/>
  <c r="D11" i="82"/>
  <c r="C11" i="82"/>
  <c r="H6" i="82"/>
  <c r="G6" i="82"/>
  <c r="F6" i="82"/>
  <c r="E6" i="82"/>
  <c r="D6" i="82"/>
  <c r="C6" i="82"/>
  <c r="B29" i="82" l="1"/>
  <c r="B28" i="82"/>
  <c r="B27" i="82"/>
  <c r="B26" i="82"/>
  <c r="H25" i="82"/>
  <c r="G25" i="82"/>
  <c r="F25" i="82"/>
  <c r="E25" i="82"/>
  <c r="D25" i="82"/>
  <c r="C25" i="82"/>
  <c r="B20" i="82"/>
  <c r="B19" i="82"/>
  <c r="B18" i="82"/>
  <c r="B17" i="82"/>
  <c r="B16" i="82"/>
  <c r="B15" i="82"/>
  <c r="B14" i="82"/>
  <c r="B13" i="82"/>
  <c r="M12" i="82"/>
  <c r="B12" i="82"/>
  <c r="R11" i="82"/>
  <c r="G21" i="82"/>
  <c r="B11" i="82"/>
  <c r="Q10" i="82"/>
  <c r="Q12" i="82" s="1"/>
  <c r="P10" i="82"/>
  <c r="P12" i="82" s="1"/>
  <c r="O10" i="82"/>
  <c r="O12" i="82" s="1"/>
  <c r="N10" i="82"/>
  <c r="N12" i="82" s="1"/>
  <c r="M10" i="82"/>
  <c r="L10" i="82"/>
  <c r="L12" i="82" s="1"/>
  <c r="B10" i="82"/>
  <c r="R9" i="82"/>
  <c r="B9" i="82"/>
  <c r="R8" i="82"/>
  <c r="B8" i="82"/>
  <c r="B7" i="82"/>
  <c r="H21" i="82"/>
  <c r="E21" i="82"/>
  <c r="D21" i="82"/>
  <c r="C21" i="82"/>
  <c r="B6" i="82"/>
  <c r="R12" i="82" l="1"/>
  <c r="B25" i="82"/>
  <c r="F21" i="82"/>
  <c r="B21" i="82" s="1"/>
  <c r="I22" i="82" s="1"/>
  <c r="R10" i="82"/>
  <c r="B36" i="81"/>
  <c r="B32" i="81"/>
  <c r="H17" i="81" l="1"/>
  <c r="R11" i="81"/>
  <c r="Q10" i="81"/>
  <c r="Q12" i="81" s="1"/>
  <c r="P10" i="81"/>
  <c r="P12" i="81" s="1"/>
  <c r="O10" i="81"/>
  <c r="O12" i="81" s="1"/>
  <c r="N10" i="81"/>
  <c r="N12" i="81" s="1"/>
  <c r="M10" i="81"/>
  <c r="M12" i="81" s="1"/>
  <c r="L10" i="81"/>
  <c r="L12" i="81" s="1"/>
  <c r="R9" i="81"/>
  <c r="R8" i="81"/>
  <c r="R12" i="81" l="1"/>
  <c r="R10" i="81"/>
  <c r="H16" i="81" l="1"/>
  <c r="G16" i="81"/>
  <c r="F16" i="81"/>
  <c r="E16" i="81"/>
  <c r="D16" i="81"/>
  <c r="C16" i="81"/>
  <c r="H11" i="81"/>
  <c r="G11" i="81"/>
  <c r="F11" i="81"/>
  <c r="E11" i="81"/>
  <c r="D11" i="81"/>
  <c r="C11" i="81"/>
  <c r="H6" i="81"/>
  <c r="G6" i="81"/>
  <c r="F6" i="81"/>
  <c r="E6" i="81"/>
  <c r="D6" i="81"/>
  <c r="C6" i="81"/>
  <c r="B31" i="81" l="1"/>
  <c r="B29" i="81"/>
  <c r="B28" i="81"/>
  <c r="B27" i="81"/>
  <c r="B26" i="81"/>
  <c r="H25" i="81"/>
  <c r="G25" i="81"/>
  <c r="F25" i="81"/>
  <c r="E25" i="81"/>
  <c r="D25" i="81"/>
  <c r="C25" i="81"/>
  <c r="G21" i="81"/>
  <c r="D21" i="81"/>
  <c r="B20" i="81"/>
  <c r="B19" i="81"/>
  <c r="B18" i="81"/>
  <c r="B17" i="81"/>
  <c r="B15" i="81"/>
  <c r="B14" i="81"/>
  <c r="B13" i="81"/>
  <c r="B12" i="81"/>
  <c r="B11" i="81"/>
  <c r="B10" i="81"/>
  <c r="B9" i="81"/>
  <c r="B8" i="81"/>
  <c r="B7" i="81"/>
  <c r="F21" i="81"/>
  <c r="E21" i="81"/>
  <c r="C21" i="81"/>
  <c r="B6" i="81"/>
  <c r="B25" i="81" l="1"/>
  <c r="B16" i="81"/>
  <c r="H21" i="81"/>
  <c r="B21" i="81" s="1"/>
  <c r="I22" i="81" s="1"/>
  <c r="H17" i="80"/>
  <c r="H16" i="80" s="1"/>
  <c r="H21" i="80" s="1"/>
  <c r="E17" i="80"/>
  <c r="B17" i="80" s="1"/>
  <c r="B20" i="80"/>
  <c r="B19" i="80"/>
  <c r="B18" i="80"/>
  <c r="G16" i="80"/>
  <c r="F16" i="80"/>
  <c r="D16" i="80"/>
  <c r="C16" i="80"/>
  <c r="B15" i="80"/>
  <c r="B14" i="80"/>
  <c r="B13" i="80"/>
  <c r="B12" i="80"/>
  <c r="H11" i="80"/>
  <c r="G11" i="80"/>
  <c r="F11" i="80"/>
  <c r="E11" i="80"/>
  <c r="D11" i="80"/>
  <c r="C11" i="80"/>
  <c r="B10" i="80"/>
  <c r="B9" i="80"/>
  <c r="B8" i="80"/>
  <c r="B7" i="80"/>
  <c r="H6" i="80"/>
  <c r="G6" i="80"/>
  <c r="F6" i="80"/>
  <c r="E6" i="80"/>
  <c r="D6" i="80"/>
  <c r="C6" i="80"/>
  <c r="G21" i="80" l="1"/>
  <c r="C21" i="80"/>
  <c r="D21" i="80"/>
  <c r="B11" i="80"/>
  <c r="F21" i="80"/>
  <c r="E16" i="80"/>
  <c r="B16" i="80" s="1"/>
  <c r="B6" i="80"/>
  <c r="O12" i="80"/>
  <c r="R11" i="80"/>
  <c r="Q10" i="80"/>
  <c r="Q12" i="80" s="1"/>
  <c r="P10" i="80"/>
  <c r="P12" i="80" s="1"/>
  <c r="O10" i="80"/>
  <c r="N10" i="80"/>
  <c r="N12" i="80" s="1"/>
  <c r="M10" i="80"/>
  <c r="M12" i="80" s="1"/>
  <c r="L10" i="80"/>
  <c r="L12" i="80" s="1"/>
  <c r="R9" i="80"/>
  <c r="R8" i="80"/>
  <c r="R12" i="80" l="1"/>
  <c r="E21" i="80"/>
  <c r="B21" i="80" s="1"/>
  <c r="I22" i="80" s="1"/>
  <c r="R10" i="80"/>
  <c r="B28" i="80" l="1"/>
  <c r="B27" i="80"/>
  <c r="B26" i="80"/>
  <c r="H25" i="80"/>
  <c r="G25" i="80"/>
  <c r="F25" i="80"/>
  <c r="E25" i="80"/>
  <c r="D25" i="80"/>
  <c r="C25" i="80"/>
  <c r="B31" i="80" l="1"/>
  <c r="B29" i="80"/>
  <c r="B25" i="80" s="1"/>
  <c r="B17" i="108" l="1"/>
  <c r="H16" i="108"/>
  <c r="B16" i="108" s="1"/>
  <c r="B21" i="108" s="1"/>
  <c r="J22" i="108" s="1"/>
  <c r="H21" i="108" l="1"/>
</calcChain>
</file>

<file path=xl/sharedStrings.xml><?xml version="1.0" encoding="utf-8"?>
<sst xmlns="http://schemas.openxmlformats.org/spreadsheetml/2006/main" count="3115" uniqueCount="78">
  <si>
    <t>Тарифная группа</t>
  </si>
  <si>
    <t>Всего</t>
  </si>
  <si>
    <t>ВН(высокое напряжение 110 кВ и выше)</t>
  </si>
  <si>
    <t>СН1(первое среднее напряжение 35 кВ)</t>
  </si>
  <si>
    <t>СН2 (второе среднее напряжение 20-1 кВ)</t>
  </si>
  <si>
    <t>НН (низкое напряжение 0,4 кВ и ниже)</t>
  </si>
  <si>
    <t>Бюджетные потребители, в т.ч</t>
  </si>
  <si>
    <t>по сетям филиала ОАО "РЖД" - ЮВЖД</t>
  </si>
  <si>
    <t>по сетям филиала ОАО "РЖД" - КЖД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</si>
  <si>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</si>
  <si>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</si>
  <si>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</si>
  <si>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</si>
  <si>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</si>
  <si>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</si>
  <si>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</si>
  <si>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ОАО "РЖД" - ЮВЖД</t>
  </si>
  <si>
    <t>по сетям филиала ПАО "МРСК Центра" - "Тамбовэнерго"</t>
  </si>
  <si>
    <t>по сетям ПАО "ФСК"</t>
  </si>
  <si>
    <t xml:space="preserve">по сетям филиала ПАО "МРСК Центра" - "Тамбовэнерго" 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</si>
  <si>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</si>
  <si>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</si>
  <si>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</si>
  <si>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</si>
  <si>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</si>
  <si>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(сетевая),МВт. в т.ч.:</t>
  </si>
  <si>
    <t>Объем покупки электроэнергии у гарантирующего поставщика для целей компенсации потерь в электрических сетях , в т.ч.</t>
  </si>
  <si>
    <t>Фактическая информация об объеме  полезного отпуска электроэнергии и мощности по тарифным группам в разрезе территориальных сетевых организаций по уровням напряжения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</si>
  <si>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</si>
  <si>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</si>
  <si>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по сетям иных владельцев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</si>
  <si>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</si>
  <si>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</si>
  <si>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</si>
  <si>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</si>
  <si>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</si>
  <si>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</si>
  <si>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</si>
  <si>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</si>
  <si>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</si>
  <si>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</si>
  <si>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</si>
  <si>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ООО "Котовская ТЭЦ"</t>
  </si>
  <si>
    <t>факт июль</t>
  </si>
  <si>
    <t>по сетям филиала ПАО "Россети Центра" - "Тамбовэнерго"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</si>
  <si>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</si>
  <si>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</si>
  <si>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</si>
  <si>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</si>
  <si>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</si>
  <si>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</si>
  <si>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</si>
  <si>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</si>
  <si>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</si>
  <si>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</si>
  <si>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ГН (генераторное напряжение)</t>
  </si>
  <si>
    <t>Раздел № 4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</si>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</sst>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"/>
    <numFmt numFmtId="192" formatCode="#,##0.000000"/>
    <numFmt numFmtId="193" formatCode="#,##0.000000000"/>
    <numFmt numFmtId="194" formatCode="[$-419]mmmm\ yyyy;@"/>
    <numFmt numFmtId="195" formatCode="0.000000"/>
    <numFmt numFmtId="196" formatCode="#,##0.000000000000"/>
    <numFmt numFmtId="197" formatCode="0.00000"/>
    <numFmt numFmtId="198" formatCode="0.000000000"/>
    <numFmt numFmtId="199" formatCode="0.00000000"/>
    <numFmt numFmtId="200" formatCode="#,##0.0000000"/>
  </numFmts>
  <fonts count="1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b/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</fonts>
  <fills count="7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1" fillId="50" borderId="23" applyNumberFormat="0" applyAlignment="0" applyProtection="0"/>
    <xf numFmtId="0" fontId="72" fillId="51" borderId="24" applyNumberFormat="0" applyAlignment="0" applyProtection="0"/>
    <xf numFmtId="0" fontId="73" fillId="51" borderId="23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4" fillId="0" borderId="25" applyNumberFormat="0" applyFill="0" applyAlignment="0" applyProtection="0"/>
    <xf numFmtId="0" fontId="75" fillId="0" borderId="26" applyNumberFormat="0" applyFill="0" applyAlignment="0" applyProtection="0"/>
    <xf numFmtId="0" fontId="76" fillId="0" borderId="27" applyNumberFormat="0" applyFill="0" applyAlignment="0" applyProtection="0"/>
    <xf numFmtId="0" fontId="76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7" fillId="0" borderId="28" applyNumberFormat="0" applyFill="0" applyAlignment="0" applyProtection="0"/>
    <xf numFmtId="0" fontId="78" fillId="52" borderId="29" applyNumberFormat="0" applyAlignment="0" applyProtection="0"/>
    <xf numFmtId="0" fontId="79" fillId="0" borderId="0" applyNumberFormat="0" applyFill="0" applyBorder="0" applyAlignment="0" applyProtection="0"/>
    <xf numFmtId="0" fontId="80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1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0" borderId="0"/>
    <xf numFmtId="0" fontId="82" fillId="54" borderId="0" applyNumberFormat="0" applyBorder="0" applyAlignment="0" applyProtection="0"/>
    <xf numFmtId="0" fontId="83" fillId="0" borderId="0" applyNumberFormat="0" applyFill="0" applyBorder="0" applyAlignment="0" applyProtection="0"/>
    <xf numFmtId="0" fontId="69" fillId="55" borderId="30" applyNumberFormat="0" applyFont="0" applyAlignment="0" applyProtection="0"/>
    <xf numFmtId="0" fontId="4" fillId="24" borderId="19" applyNumberFormat="0" applyFont="0" applyAlignment="0" applyProtection="0"/>
    <xf numFmtId="0" fontId="84" fillId="0" borderId="31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6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7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8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9" fillId="64" borderId="0" applyNumberFormat="0" applyBorder="0" applyAlignment="0" applyProtection="0"/>
    <xf numFmtId="0" fontId="89" fillId="7" borderId="0" applyNumberFormat="0" applyBorder="0" applyAlignment="0" applyProtection="0"/>
    <xf numFmtId="0" fontId="89" fillId="63" borderId="0" applyNumberFormat="0" applyBorder="0" applyAlignment="0" applyProtection="0"/>
    <xf numFmtId="0" fontId="89" fillId="65" borderId="0" applyNumberFormat="0" applyBorder="0" applyAlignment="0" applyProtection="0"/>
    <xf numFmtId="0" fontId="89" fillId="9" borderId="0" applyNumberFormat="0" applyBorder="0" applyAlignment="0" applyProtection="0"/>
    <xf numFmtId="0" fontId="89" fillId="59" borderId="0" applyNumberFormat="0" applyBorder="0" applyAlignment="0" applyProtection="0"/>
    <xf numFmtId="0" fontId="89" fillId="66" borderId="0" applyNumberFormat="0" applyBorder="0" applyAlignment="0" applyProtection="0"/>
    <xf numFmtId="0" fontId="89" fillId="17" borderId="0" applyNumberFormat="0" applyBorder="0" applyAlignment="0" applyProtection="0"/>
    <xf numFmtId="0" fontId="89" fillId="67" borderId="0" applyNumberFormat="0" applyBorder="0" applyAlignment="0" applyProtection="0"/>
    <xf numFmtId="0" fontId="89" fillId="65" borderId="0" applyNumberFormat="0" applyBorder="0" applyAlignment="0" applyProtection="0"/>
    <xf numFmtId="0" fontId="89" fillId="9" borderId="0" applyNumberFormat="0" applyBorder="0" applyAlignment="0" applyProtection="0"/>
    <xf numFmtId="0" fontId="89" fillId="68" borderId="0" applyNumberFormat="0" applyBorder="0" applyAlignment="0" applyProtection="0"/>
    <xf numFmtId="0" fontId="90" fillId="4" borderId="11" applyNumberFormat="0" applyAlignment="0" applyProtection="0"/>
    <xf numFmtId="0" fontId="91" fillId="18" borderId="12" applyNumberFormat="0" applyAlignment="0" applyProtection="0"/>
    <xf numFmtId="0" fontId="92" fillId="18" borderId="11" applyNumberFormat="0" applyAlignment="0" applyProtection="0"/>
    <xf numFmtId="0" fontId="93" fillId="0" borderId="15" applyNumberFormat="0" applyFill="0" applyAlignment="0" applyProtection="0"/>
    <xf numFmtId="0" fontId="94" fillId="0" borderId="32" applyNumberFormat="0" applyFill="0" applyAlignment="0" applyProtection="0"/>
    <xf numFmtId="0" fontId="95" fillId="0" borderId="16" applyNumberFormat="0" applyFill="0" applyAlignment="0" applyProtection="0"/>
    <xf numFmtId="0" fontId="95" fillId="0" borderId="0" applyNumberFormat="0" applyFill="0" applyBorder="0" applyAlignment="0" applyProtection="0"/>
    <xf numFmtId="0" fontId="96" fillId="0" borderId="18" applyNumberFormat="0" applyFill="0" applyAlignment="0" applyProtection="0"/>
    <xf numFmtId="0" fontId="97" fillId="21" borderId="14" applyNumberFormat="0" applyAlignment="0" applyProtection="0"/>
    <xf numFmtId="0" fontId="98" fillId="0" borderId="0" applyNumberFormat="0" applyFill="0" applyBorder="0" applyAlignment="0" applyProtection="0"/>
    <xf numFmtId="0" fontId="99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100" fillId="60" borderId="0" applyNumberFormat="0" applyBorder="0" applyAlignment="0" applyProtection="0"/>
    <xf numFmtId="0" fontId="101" fillId="0" borderId="0" applyNumberFormat="0" applyFill="0" applyBorder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102" fillId="0" borderId="13" applyNumberFormat="0" applyFill="0" applyAlignment="0" applyProtection="0"/>
    <xf numFmtId="0" fontId="103" fillId="0" borderId="0" applyNumberFormat="0" applyFill="0" applyBorder="0" applyAlignment="0" applyProtection="0"/>
    <xf numFmtId="0" fontId="104" fillId="2" borderId="0" applyNumberFormat="0" applyBorder="0" applyAlignment="0" applyProtection="0"/>
    <xf numFmtId="0" fontId="17" fillId="0" borderId="18" applyNumberFormat="0" applyFill="0" applyAlignment="0" applyProtection="0"/>
    <xf numFmtId="0" fontId="88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30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1" fillId="0" borderId="0"/>
    <xf numFmtId="0" fontId="4" fillId="57" borderId="0" applyNumberFormat="0" applyFont="0" applyAlignment="0" applyProtection="0"/>
    <xf numFmtId="0" fontId="24" fillId="0" borderId="0"/>
  </cellStyleXfs>
  <cellXfs count="400">
    <xf numFmtId="0" fontId="4" fillId="0" borderId="0" xfId="0" applyFont="1"/>
    <xf numFmtId="3" fontId="8" fillId="0" borderId="22" xfId="0" applyNumberFormat="1" applyFont="1" applyBorder="1" applyAlignment="1">
      <alignment horizontal="center" wrapText="1"/>
    </xf>
    <xf numFmtId="3" fontId="10" fillId="0" borderId="22" xfId="0" applyNumberFormat="1" applyFont="1" applyBorder="1" applyAlignment="1">
      <alignment horizontal="center" wrapText="1"/>
    </xf>
    <xf numFmtId="3" fontId="10" fillId="0" borderId="6" xfId="0" applyNumberFormat="1" applyFon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7" fillId="69" borderId="6" xfId="0" applyNumberFormat="1" applyFont="1" applyFill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0" fontId="4" fillId="0" borderId="0" xfId="0" applyFont="1" applyFill="1"/>
    <xf numFmtId="190" fontId="4" fillId="0" borderId="0" xfId="0" applyNumberFormat="1" applyFont="1"/>
    <xf numFmtId="3" fontId="8" fillId="0" borderId="36" xfId="0" applyNumberFormat="1" applyFont="1" applyBorder="1" applyAlignment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 wrapText="1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190" fontId="0" fillId="69" borderId="41" xfId="0" applyNumberFormat="1" applyFont="1" applyFill="1" applyBorder="1" applyAlignment="1">
      <alignment horizontal="center"/>
    </xf>
    <xf numFmtId="190" fontId="0" fillId="69" borderId="42" xfId="0" applyNumberFormat="1" applyFont="1" applyFill="1" applyBorder="1" applyAlignment="1">
      <alignment horizontal="center"/>
    </xf>
    <xf numFmtId="4" fontId="7" fillId="0" borderId="41" xfId="0" applyNumberFormat="1" applyFont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10" fillId="0" borderId="22" xfId="0" applyNumberFormat="1" applyFont="1" applyFill="1" applyBorder="1" applyAlignment="1">
      <alignment horizontal="center" wrapText="1"/>
    </xf>
    <xf numFmtId="190" fontId="7" fillId="69" borderId="36" xfId="0" applyNumberFormat="1" applyFont="1" applyFill="1" applyBorder="1" applyAlignment="1">
      <alignment horizontal="center"/>
    </xf>
    <xf numFmtId="190" fontId="7" fillId="69" borderId="38" xfId="0" applyNumberFormat="1" applyFont="1" applyFill="1" applyBorder="1" applyAlignment="1">
      <alignment horizontal="center"/>
    </xf>
    <xf numFmtId="190" fontId="0" fillId="0" borderId="33" xfId="0" applyNumberFormat="1" applyFont="1" applyFill="1" applyBorder="1" applyAlignment="1">
      <alignment horizontal="center"/>
    </xf>
    <xf numFmtId="190" fontId="0" fillId="0" borderId="43" xfId="0" applyNumberFormat="1" applyFont="1" applyFill="1" applyBorder="1" applyAlignment="1">
      <alignment horizontal="center"/>
    </xf>
    <xf numFmtId="190" fontId="0" fillId="69" borderId="33" xfId="0" applyNumberFormat="1" applyFont="1" applyFill="1" applyBorder="1" applyAlignment="1">
      <alignment horizontal="center"/>
    </xf>
    <xf numFmtId="190" fontId="0" fillId="69" borderId="43" xfId="0" applyNumberFormat="1" applyFont="1" applyFill="1" applyBorder="1" applyAlignment="1">
      <alignment horizontal="center"/>
    </xf>
    <xf numFmtId="3" fontId="4" fillId="0" borderId="0" xfId="0" applyNumberFormat="1" applyFont="1"/>
    <xf numFmtId="0" fontId="7" fillId="0" borderId="40" xfId="0" applyFont="1" applyBorder="1" applyAlignment="1">
      <alignment horizontal="center" wrapText="1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3" fontId="7" fillId="69" borderId="37" xfId="0" applyNumberFormat="1" applyFont="1" applyFill="1" applyBorder="1" applyAlignment="1">
      <alignment horizontal="center"/>
    </xf>
    <xf numFmtId="17" fontId="8" fillId="0" borderId="48" xfId="0" applyNumberFormat="1" applyFont="1" applyBorder="1" applyAlignment="1">
      <alignment horizontal="center" wrapText="1"/>
    </xf>
    <xf numFmtId="17" fontId="9" fillId="0" borderId="48" xfId="0" applyNumberFormat="1" applyFont="1" applyBorder="1" applyAlignment="1">
      <alignment horizontal="right"/>
    </xf>
    <xf numFmtId="17" fontId="8" fillId="0" borderId="48" xfId="0" applyNumberFormat="1" applyFont="1" applyBorder="1" applyAlignment="1">
      <alignment horizontal="center"/>
    </xf>
    <xf numFmtId="17" fontId="7" fillId="0" borderId="49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 wrapText="1"/>
    </xf>
    <xf numFmtId="3" fontId="10" fillId="0" borderId="39" xfId="0" applyNumberFormat="1" applyFont="1" applyBorder="1" applyAlignment="1">
      <alignment horizontal="center" wrapText="1"/>
    </xf>
    <xf numFmtId="3" fontId="8" fillId="0" borderId="39" xfId="0" applyNumberFormat="1" applyFont="1" applyFill="1" applyBorder="1" applyAlignment="1">
      <alignment horizontal="center" wrapText="1"/>
    </xf>
    <xf numFmtId="3" fontId="8" fillId="0" borderId="39" xfId="0" applyNumberFormat="1" applyFont="1" applyBorder="1" applyAlignment="1">
      <alignment horizontal="center" wrapText="1"/>
    </xf>
    <xf numFmtId="3" fontId="7" fillId="0" borderId="40" xfId="0" applyNumberFormat="1" applyFont="1" applyFill="1" applyBorder="1" applyAlignment="1">
      <alignment horizontal="center"/>
    </xf>
    <xf numFmtId="17" fontId="8" fillId="0" borderId="50" xfId="0" applyNumberFormat="1" applyFont="1" applyBorder="1" applyAlignment="1">
      <alignment horizontal="center"/>
    </xf>
    <xf numFmtId="17" fontId="8" fillId="0" borderId="47" xfId="0" applyNumberFormat="1" applyFont="1" applyBorder="1" applyAlignment="1">
      <alignment horizontal="center" wrapText="1"/>
    </xf>
    <xf numFmtId="17" fontId="105" fillId="0" borderId="48" xfId="0" applyNumberFormat="1" applyFont="1" applyBorder="1" applyAlignment="1">
      <alignment horizontal="right" wrapText="1"/>
    </xf>
    <xf numFmtId="17" fontId="9" fillId="0" borderId="49" xfId="0" applyNumberFormat="1" applyFont="1" applyBorder="1" applyAlignment="1">
      <alignment horizontal="right"/>
    </xf>
    <xf numFmtId="190" fontId="7" fillId="69" borderId="21" xfId="0" applyNumberFormat="1" applyFont="1" applyFill="1" applyBorder="1" applyAlignment="1">
      <alignment horizontal="center"/>
    </xf>
    <xf numFmtId="190" fontId="0" fillId="69" borderId="39" xfId="0" applyNumberFormat="1" applyFont="1" applyFill="1" applyBorder="1" applyAlignment="1">
      <alignment horizontal="center" wrapText="1"/>
    </xf>
    <xf numFmtId="190" fontId="0" fillId="69" borderId="40" xfId="0" applyNumberFormat="1" applyFont="1" applyFill="1" applyBorder="1" applyAlignment="1">
      <alignment horizontal="center" wrapText="1"/>
    </xf>
    <xf numFmtId="17" fontId="9" fillId="0" borderId="48" xfId="0" applyNumberFormat="1" applyFont="1" applyBorder="1" applyAlignment="1">
      <alignment horizontal="left"/>
    </xf>
    <xf numFmtId="17" fontId="9" fillId="0" borderId="48" xfId="0" applyNumberFormat="1" applyFont="1" applyFill="1" applyBorder="1" applyAlignment="1">
      <alignment horizontal="left"/>
    </xf>
    <xf numFmtId="17" fontId="9" fillId="0" borderId="49" xfId="0" applyNumberFormat="1" applyFont="1" applyBorder="1" applyAlignment="1">
      <alignment horizontal="left"/>
    </xf>
    <xf numFmtId="3" fontId="0" fillId="0" borderId="39" xfId="0" applyNumberFormat="1" applyFont="1" applyFill="1" applyBorder="1" applyAlignment="1">
      <alignment horizontal="center"/>
    </xf>
    <xf numFmtId="3" fontId="10" fillId="0" borderId="39" xfId="0" applyNumberFormat="1" applyFont="1" applyFill="1" applyBorder="1" applyAlignment="1">
      <alignment horizontal="center" wrapText="1"/>
    </xf>
    <xf numFmtId="3" fontId="10" fillId="0" borderId="40" xfId="0" applyNumberFormat="1" applyFont="1" applyFill="1" applyBorder="1" applyAlignment="1">
      <alignment horizontal="center" wrapText="1"/>
    </xf>
    <xf numFmtId="3" fontId="7" fillId="0" borderId="6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17" fontId="9" fillId="0" borderId="39" xfId="0" applyNumberFormat="1" applyFont="1" applyBorder="1" applyAlignment="1">
      <alignment horizontal="left"/>
    </xf>
    <xf numFmtId="17" fontId="9" fillId="0" borderId="39" xfId="0" applyNumberFormat="1" applyFont="1" applyFill="1" applyBorder="1" applyAlignment="1">
      <alignment horizontal="left"/>
    </xf>
    <xf numFmtId="17" fontId="9" fillId="0" borderId="40" xfId="0" applyNumberFormat="1" applyFont="1" applyBorder="1" applyAlignment="1">
      <alignment horizontal="left"/>
    </xf>
    <xf numFmtId="3" fontId="10" fillId="0" borderId="41" xfId="0" applyNumberFormat="1" applyFont="1" applyFill="1" applyBorder="1" applyAlignment="1">
      <alignment horizontal="center" wrapText="1"/>
    </xf>
    <xf numFmtId="17" fontId="8" fillId="0" borderId="21" xfId="0" applyNumberFormat="1" applyFont="1" applyBorder="1" applyAlignment="1">
      <alignment horizontal="center" wrapText="1"/>
    </xf>
    <xf numFmtId="3" fontId="8" fillId="0" borderId="22" xfId="0" applyNumberFormat="1" applyFont="1" applyFill="1" applyBorder="1" applyAlignment="1">
      <alignment horizontal="center" wrapText="1"/>
    </xf>
    <xf numFmtId="190" fontId="0" fillId="0" borderId="39" xfId="0" applyNumberFormat="1" applyFont="1" applyFill="1" applyBorder="1" applyAlignment="1">
      <alignment horizontal="center" wrapText="1"/>
    </xf>
    <xf numFmtId="0" fontId="106" fillId="0" borderId="0" xfId="712" applyFont="1" applyFill="1" applyBorder="1"/>
    <xf numFmtId="0" fontId="107" fillId="0" borderId="0" xfId="712" applyFont="1" applyAlignment="1">
      <alignment horizontal="center"/>
    </xf>
    <xf numFmtId="0" fontId="108" fillId="0" borderId="0" xfId="712" applyFont="1" applyAlignment="1">
      <alignment horizontal="center"/>
    </xf>
    <xf numFmtId="0" fontId="107" fillId="0" borderId="6" xfId="712" applyFont="1" applyBorder="1"/>
    <xf numFmtId="0" fontId="108" fillId="69" borderId="6" xfId="712" applyFont="1" applyFill="1" applyBorder="1" applyAlignment="1">
      <alignment horizontal="center"/>
    </xf>
    <xf numFmtId="0" fontId="108" fillId="0" borderId="6" xfId="712" applyFont="1" applyBorder="1"/>
    <xf numFmtId="3" fontId="109" fillId="69" borderId="56" xfId="712" applyNumberFormat="1" applyFont="1" applyFill="1" applyBorder="1" applyAlignment="1">
      <alignment horizontal="center" vertical="center" wrapText="1"/>
    </xf>
    <xf numFmtId="3" fontId="109" fillId="69" borderId="6" xfId="712" applyNumberFormat="1" applyFont="1" applyFill="1" applyBorder="1" applyAlignment="1">
      <alignment horizontal="center"/>
    </xf>
    <xf numFmtId="3" fontId="110" fillId="69" borderId="6" xfId="712" applyNumberFormat="1" applyFont="1" applyFill="1" applyBorder="1" applyAlignment="1">
      <alignment horizontal="center"/>
    </xf>
    <xf numFmtId="3" fontId="109" fillId="0" borderId="56" xfId="712" applyNumberFormat="1" applyFont="1" applyFill="1" applyBorder="1" applyAlignment="1">
      <alignment horizontal="center" vertical="center" wrapText="1"/>
    </xf>
    <xf numFmtId="3" fontId="109" fillId="0" borderId="6" xfId="712" applyNumberFormat="1" applyFont="1" applyFill="1" applyBorder="1" applyAlignment="1">
      <alignment horizontal="center"/>
    </xf>
    <xf numFmtId="0" fontId="111" fillId="70" borderId="6" xfId="712" applyFont="1" applyFill="1" applyBorder="1"/>
    <xf numFmtId="3" fontId="111" fillId="70" borderId="6" xfId="712" applyNumberFormat="1" applyFont="1" applyFill="1" applyBorder="1" applyAlignment="1">
      <alignment horizontal="center"/>
    </xf>
    <xf numFmtId="3" fontId="110" fillId="70" borderId="6" xfId="712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17" fontId="9" fillId="0" borderId="6" xfId="0" applyNumberFormat="1" applyFont="1" applyFill="1" applyBorder="1" applyAlignment="1">
      <alignment horizontal="left"/>
    </xf>
    <xf numFmtId="17" fontId="9" fillId="0" borderId="6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3" fontId="0" fillId="0" borderId="37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7" fillId="0" borderId="3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7" fillId="0" borderId="6" xfId="712" applyFont="1" applyBorder="1" applyAlignment="1">
      <alignment horizontal="center"/>
    </xf>
    <xf numFmtId="0" fontId="108" fillId="0" borderId="6" xfId="712" applyFont="1" applyBorder="1" applyAlignment="1">
      <alignment horizontal="center"/>
    </xf>
    <xf numFmtId="0" fontId="111" fillId="70" borderId="6" xfId="712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106" fillId="0" borderId="0" xfId="712" applyFont="1" applyFill="1" applyBorder="1" applyAlignment="1">
      <alignment horizontal="left"/>
    </xf>
    <xf numFmtId="3" fontId="7" fillId="71" borderId="36" xfId="0" applyNumberFormat="1" applyFont="1" applyFill="1" applyBorder="1" applyAlignment="1">
      <alignment horizontal="center"/>
    </xf>
    <xf numFmtId="3" fontId="7" fillId="71" borderId="38" xfId="0" applyNumberFormat="1" applyFont="1" applyFill="1" applyBorder="1" applyAlignment="1">
      <alignment horizontal="center"/>
    </xf>
    <xf numFmtId="3" fontId="7" fillId="71" borderId="6" xfId="0" applyNumberFormat="1" applyFont="1" applyFill="1" applyBorder="1" applyAlignment="1">
      <alignment horizontal="center"/>
    </xf>
    <xf numFmtId="3" fontId="7" fillId="71" borderId="37" xfId="0" applyNumberFormat="1" applyFont="1" applyFill="1" applyBorder="1" applyAlignment="1">
      <alignment horizontal="center"/>
    </xf>
    <xf numFmtId="3" fontId="8" fillId="69" borderId="36" xfId="0" applyNumberFormat="1" applyFont="1" applyFill="1" applyBorder="1" applyAlignment="1">
      <alignment horizontal="center" wrapText="1"/>
    </xf>
    <xf numFmtId="3" fontId="0" fillId="69" borderId="6" xfId="0" applyNumberFormat="1" applyFont="1" applyFill="1" applyBorder="1" applyAlignment="1">
      <alignment horizontal="center"/>
    </xf>
    <xf numFmtId="3" fontId="10" fillId="69" borderId="6" xfId="0" applyNumberFormat="1" applyFont="1" applyFill="1" applyBorder="1" applyAlignment="1">
      <alignment horizontal="center" wrapText="1"/>
    </xf>
    <xf numFmtId="3" fontId="4" fillId="69" borderId="6" xfId="0" applyNumberFormat="1" applyFont="1" applyFill="1" applyBorder="1" applyAlignment="1">
      <alignment horizontal="center"/>
    </xf>
    <xf numFmtId="0" fontId="0" fillId="0" borderId="0" xfId="0" applyFont="1"/>
    <xf numFmtId="3" fontId="8" fillId="0" borderId="21" xfId="0" applyNumberFormat="1" applyFont="1" applyFill="1" applyBorder="1" applyAlignment="1">
      <alignment horizontal="center" wrapText="1"/>
    </xf>
    <xf numFmtId="3" fontId="0" fillId="0" borderId="41" xfId="0" applyNumberFormat="1" applyFont="1" applyFill="1" applyBorder="1" applyAlignment="1">
      <alignment horizontal="center"/>
    </xf>
    <xf numFmtId="3" fontId="0" fillId="0" borderId="42" xfId="0" applyNumberFormat="1" applyFont="1" applyFill="1" applyBorder="1" applyAlignment="1">
      <alignment horizontal="center"/>
    </xf>
    <xf numFmtId="190" fontId="7" fillId="0" borderId="21" xfId="0" applyNumberFormat="1" applyFont="1" applyFill="1" applyBorder="1" applyAlignment="1">
      <alignment horizontal="center"/>
    </xf>
    <xf numFmtId="190" fontId="7" fillId="0" borderId="36" xfId="0" applyNumberFormat="1" applyFont="1" applyFill="1" applyBorder="1" applyAlignment="1">
      <alignment horizontal="center"/>
    </xf>
    <xf numFmtId="190" fontId="7" fillId="0" borderId="38" xfId="0" applyNumberFormat="1" applyFont="1" applyFill="1" applyBorder="1" applyAlignment="1">
      <alignment horizontal="center"/>
    </xf>
    <xf numFmtId="190" fontId="0" fillId="0" borderId="41" xfId="0" applyNumberFormat="1" applyFont="1" applyFill="1" applyBorder="1" applyAlignment="1">
      <alignment horizontal="center"/>
    </xf>
    <xf numFmtId="190" fontId="0" fillId="0" borderId="42" xfId="0" applyNumberFormat="1" applyFont="1" applyFill="1" applyBorder="1" applyAlignment="1">
      <alignment horizontal="center"/>
    </xf>
    <xf numFmtId="190" fontId="4" fillId="0" borderId="0" xfId="0" applyNumberFormat="1" applyFont="1" applyFill="1"/>
    <xf numFmtId="3" fontId="8" fillId="0" borderId="36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/>
    <xf numFmtId="192" fontId="4" fillId="0" borderId="0" xfId="0" applyNumberFormat="1" applyFont="1" applyAlignment="1">
      <alignment horizontal="center"/>
    </xf>
    <xf numFmtId="193" fontId="4" fillId="0" borderId="0" xfId="0" applyNumberFormat="1" applyFont="1" applyAlignment="1">
      <alignment horizontal="center"/>
    </xf>
    <xf numFmtId="0" fontId="4" fillId="0" borderId="41" xfId="0" applyFont="1" applyFill="1" applyBorder="1"/>
    <xf numFmtId="0" fontId="4" fillId="0" borderId="42" xfId="0" applyFont="1" applyFill="1" applyBorder="1"/>
    <xf numFmtId="17" fontId="8" fillId="0" borderId="21" xfId="0" applyNumberFormat="1" applyFont="1" applyBorder="1" applyAlignment="1">
      <alignment horizontal="center" vertical="center" wrapText="1"/>
    </xf>
    <xf numFmtId="192" fontId="8" fillId="0" borderId="36" xfId="0" applyNumberFormat="1" applyFont="1" applyFill="1" applyBorder="1" applyAlignment="1">
      <alignment horizontal="center" vertical="center" wrapText="1"/>
    </xf>
    <xf numFmtId="192" fontId="0" fillId="0" borderId="6" xfId="0" applyNumberForma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190" fontId="0" fillId="0" borderId="37" xfId="0" applyNumberFormat="1" applyFill="1" applyBorder="1" applyAlignment="1">
      <alignment horizontal="center" vertical="center"/>
    </xf>
    <xf numFmtId="4" fontId="0" fillId="0" borderId="37" xfId="0" applyNumberFormat="1" applyFill="1" applyBorder="1" applyAlignment="1">
      <alignment horizontal="center" vertical="center"/>
    </xf>
    <xf numFmtId="192" fontId="0" fillId="0" borderId="37" xfId="0" applyNumberForma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91" fontId="7" fillId="0" borderId="6" xfId="0" applyNumberFormat="1" applyFont="1" applyFill="1" applyBorder="1" applyAlignment="1">
      <alignment horizontal="center" vertical="center"/>
    </xf>
    <xf numFmtId="4" fontId="7" fillId="0" borderId="37" xfId="0" applyNumberFormat="1" applyFont="1" applyFill="1" applyBorder="1" applyAlignment="1">
      <alignment horizontal="center" vertical="center"/>
    </xf>
    <xf numFmtId="191" fontId="0" fillId="0" borderId="6" xfId="0" applyNumberFormat="1" applyFill="1" applyBorder="1" applyAlignment="1">
      <alignment horizontal="center" vertical="center"/>
    </xf>
    <xf numFmtId="192" fontId="7" fillId="0" borderId="6" xfId="0" applyNumberFormat="1" applyFont="1" applyFill="1" applyBorder="1" applyAlignment="1">
      <alignment horizontal="center" vertical="center"/>
    </xf>
    <xf numFmtId="190" fontId="7" fillId="0" borderId="6" xfId="0" applyNumberFormat="1" applyFont="1" applyFill="1" applyBorder="1" applyAlignment="1">
      <alignment horizontal="center" vertical="center"/>
    </xf>
    <xf numFmtId="192" fontId="7" fillId="0" borderId="37" xfId="0" applyNumberFormat="1" applyFont="1" applyFill="1" applyBorder="1" applyAlignment="1">
      <alignment horizontal="center" vertical="center"/>
    </xf>
    <xf numFmtId="190" fontId="0" fillId="0" borderId="6" xfId="0" applyNumberForma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37" xfId="0" applyNumberFormat="1" applyFont="1" applyFill="1" applyBorder="1" applyAlignment="1">
      <alignment horizontal="center" vertical="center"/>
    </xf>
    <xf numFmtId="3" fontId="10" fillId="0" borderId="41" xfId="0" applyNumberFormat="1" applyFont="1" applyFill="1" applyBorder="1" applyAlignment="1">
      <alignment horizontal="center" vertical="center" wrapText="1"/>
    </xf>
    <xf numFmtId="3" fontId="0" fillId="0" borderId="41" xfId="0" applyNumberFormat="1" applyFont="1" applyFill="1" applyBorder="1" applyAlignment="1">
      <alignment horizontal="center" vertical="center"/>
    </xf>
    <xf numFmtId="3" fontId="0" fillId="0" borderId="42" xfId="0" applyNumberFormat="1" applyFont="1" applyFill="1" applyBorder="1" applyAlignment="1">
      <alignment horizontal="center" vertical="center"/>
    </xf>
    <xf numFmtId="193" fontId="7" fillId="0" borderId="36" xfId="0" applyNumberFormat="1" applyFont="1" applyFill="1" applyBorder="1" applyAlignment="1">
      <alignment horizontal="center" vertical="center"/>
    </xf>
    <xf numFmtId="193" fontId="7" fillId="0" borderId="38" xfId="0" applyNumberFormat="1" applyFont="1" applyFill="1" applyBorder="1" applyAlignment="1">
      <alignment horizontal="center" vertical="center"/>
    </xf>
    <xf numFmtId="193" fontId="0" fillId="0" borderId="41" xfId="0" applyNumberFormat="1" applyFont="1" applyFill="1" applyBorder="1" applyAlignment="1">
      <alignment horizontal="center" vertical="center"/>
    </xf>
    <xf numFmtId="193" fontId="0" fillId="0" borderId="42" xfId="0" applyNumberFormat="1" applyFont="1" applyFill="1" applyBorder="1" applyAlignment="1">
      <alignment horizontal="center" vertical="center"/>
    </xf>
    <xf numFmtId="17" fontId="9" fillId="0" borderId="39" xfId="0" applyNumberFormat="1" applyFont="1" applyBorder="1" applyAlignment="1">
      <alignment horizontal="left" vertical="center" wrapText="1"/>
    </xf>
    <xf numFmtId="17" fontId="9" fillId="0" borderId="39" xfId="0" applyNumberFormat="1" applyFont="1" applyFill="1" applyBorder="1" applyAlignment="1">
      <alignment horizontal="left" vertical="center"/>
    </xf>
    <xf numFmtId="17" fontId="9" fillId="0" borderId="39" xfId="0" applyNumberFormat="1" applyFont="1" applyBorder="1" applyAlignment="1">
      <alignment horizontal="left" vertical="center"/>
    </xf>
    <xf numFmtId="17" fontId="9" fillId="0" borderId="40" xfId="0" applyNumberFormat="1" applyFont="1" applyFill="1" applyBorder="1" applyAlignment="1">
      <alignment horizontal="left" vertical="center"/>
    </xf>
    <xf numFmtId="192" fontId="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191" fontId="0" fillId="0" borderId="6" xfId="0" applyNumberFormat="1" applyFont="1" applyFill="1" applyBorder="1" applyAlignment="1">
      <alignment horizontal="center" vertical="center" wrapText="1"/>
    </xf>
    <xf numFmtId="190" fontId="0" fillId="0" borderId="6" xfId="0" applyNumberFormat="1" applyFont="1" applyFill="1" applyBorder="1" applyAlignment="1">
      <alignment horizontal="center" vertical="center" wrapText="1"/>
    </xf>
    <xf numFmtId="192" fontId="0" fillId="0" borderId="4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90" fontId="4" fillId="0" borderId="0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2" fontId="8" fillId="0" borderId="6" xfId="0" applyNumberFormat="1" applyFont="1" applyFill="1" applyBorder="1" applyAlignment="1">
      <alignment horizontal="center" vertical="center" wrapText="1"/>
    </xf>
    <xf numFmtId="192" fontId="10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93" fontId="0" fillId="0" borderId="6" xfId="0" applyNumberFormat="1" applyFont="1" applyFill="1" applyBorder="1" applyAlignment="1">
      <alignment horizontal="center" vertical="center" wrapText="1"/>
    </xf>
    <xf numFmtId="193" fontId="0" fillId="0" borderId="6" xfId="0" applyNumberFormat="1" applyFont="1" applyFill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 wrapText="1"/>
    </xf>
    <xf numFmtId="17" fontId="8" fillId="0" borderId="39" xfId="0" applyNumberFormat="1" applyFont="1" applyBorder="1" applyAlignment="1">
      <alignment horizontal="center" vertical="center" wrapText="1"/>
    </xf>
    <xf numFmtId="190" fontId="7" fillId="0" borderId="37" xfId="0" applyNumberFormat="1" applyFont="1" applyFill="1" applyBorder="1" applyAlignment="1">
      <alignment horizontal="center" vertical="center"/>
    </xf>
    <xf numFmtId="17" fontId="9" fillId="0" borderId="39" xfId="0" applyNumberFormat="1" applyFont="1" applyBorder="1" applyAlignment="1">
      <alignment horizontal="right" vertical="center"/>
    </xf>
    <xf numFmtId="17" fontId="9" fillId="0" borderId="39" xfId="0" applyNumberFormat="1" applyFont="1" applyBorder="1" applyAlignment="1">
      <alignment horizontal="right" wrapText="1"/>
    </xf>
    <xf numFmtId="17" fontId="9" fillId="0" borderId="39" xfId="0" applyNumberFormat="1" applyFont="1" applyBorder="1" applyAlignment="1">
      <alignment horizontal="right"/>
    </xf>
    <xf numFmtId="17" fontId="8" fillId="0" borderId="39" xfId="0" applyNumberFormat="1" applyFont="1" applyBorder="1" applyAlignment="1">
      <alignment horizontal="center" vertical="center"/>
    </xf>
    <xf numFmtId="17" fontId="9" fillId="0" borderId="39" xfId="0" applyNumberFormat="1" applyFont="1" applyBorder="1" applyAlignment="1">
      <alignment horizontal="right" vertical="center" wrapText="1"/>
    </xf>
    <xf numFmtId="17" fontId="8" fillId="0" borderId="57" xfId="0" applyNumberFormat="1" applyFont="1" applyBorder="1" applyAlignment="1">
      <alignment horizontal="center" vertical="center"/>
    </xf>
    <xf numFmtId="17" fontId="105" fillId="0" borderId="39" xfId="0" applyNumberFormat="1" applyFont="1" applyBorder="1" applyAlignment="1">
      <alignment horizontal="right" vertical="center" wrapText="1"/>
    </xf>
    <xf numFmtId="193" fontId="0" fillId="0" borderId="37" xfId="0" applyNumberFormat="1" applyFont="1" applyFill="1" applyBorder="1" applyAlignment="1">
      <alignment horizontal="center" vertical="center"/>
    </xf>
    <xf numFmtId="0" fontId="4" fillId="0" borderId="57" xfId="0" applyFont="1" applyBorder="1"/>
    <xf numFmtId="0" fontId="4" fillId="0" borderId="34" xfId="0" applyFont="1" applyFill="1" applyBorder="1"/>
    <xf numFmtId="17" fontId="9" fillId="0" borderId="40" xfId="0" applyNumberFormat="1" applyFont="1" applyBorder="1" applyAlignment="1">
      <alignment horizontal="right" vertical="center" wrapText="1"/>
    </xf>
    <xf numFmtId="4" fontId="0" fillId="0" borderId="41" xfId="0" applyNumberFormat="1" applyFont="1" applyFill="1" applyBorder="1" applyAlignment="1">
      <alignment horizontal="center" vertical="center" wrapText="1"/>
    </xf>
    <xf numFmtId="17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/>
    </xf>
    <xf numFmtId="0" fontId="107" fillId="0" borderId="6" xfId="712" applyFont="1" applyBorder="1" applyAlignment="1">
      <alignment vertical="center"/>
    </xf>
    <xf numFmtId="0" fontId="108" fillId="69" borderId="6" xfId="712" applyFont="1" applyFill="1" applyBorder="1" applyAlignment="1">
      <alignment horizontal="center" vertical="center"/>
    </xf>
    <xf numFmtId="0" fontId="108" fillId="0" borderId="6" xfId="712" applyFont="1" applyBorder="1" applyAlignment="1">
      <alignment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10" fillId="69" borderId="6" xfId="712" applyNumberFormat="1" applyFont="1" applyFill="1" applyBorder="1" applyAlignment="1">
      <alignment horizontal="center" vertical="center"/>
    </xf>
    <xf numFmtId="3" fontId="109" fillId="0" borderId="6" xfId="712" applyNumberFormat="1" applyFont="1" applyFill="1" applyBorder="1" applyAlignment="1">
      <alignment horizontal="center" vertical="center"/>
    </xf>
    <xf numFmtId="0" fontId="111" fillId="70" borderId="6" xfId="712" applyFont="1" applyFill="1" applyBorder="1" applyAlignment="1">
      <alignment vertical="center"/>
    </xf>
    <xf numFmtId="3" fontId="111" fillId="7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2" fontId="0" fillId="0" borderId="37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4" xfId="0" applyFont="1" applyFill="1" applyBorder="1"/>
    <xf numFmtId="192" fontId="0" fillId="0" borderId="6" xfId="0" applyNumberFormat="1" applyFont="1" applyFill="1" applyBorder="1" applyAlignment="1">
      <alignment horizontal="center" vertical="center" wrapText="1"/>
    </xf>
    <xf numFmtId="0" fontId="0" fillId="0" borderId="41" xfId="0" applyFont="1" applyFill="1" applyBorder="1"/>
    <xf numFmtId="0" fontId="0" fillId="0" borderId="42" xfId="0" applyFont="1" applyFill="1" applyBorder="1"/>
    <xf numFmtId="190" fontId="10" fillId="0" borderId="6" xfId="0" applyNumberFormat="1" applyFont="1" applyFill="1" applyBorder="1" applyAlignment="1">
      <alignment horizontal="center" vertical="center" wrapText="1"/>
    </xf>
    <xf numFmtId="192" fontId="10" fillId="0" borderId="41" xfId="0" applyNumberFormat="1" applyFont="1" applyFill="1" applyBorder="1" applyAlignment="1">
      <alignment horizontal="center" vertical="center" wrapText="1"/>
    </xf>
    <xf numFmtId="192" fontId="0" fillId="0" borderId="42" xfId="0" applyNumberFormat="1" applyFont="1" applyFill="1" applyBorder="1" applyAlignment="1">
      <alignment horizontal="center" vertical="center"/>
    </xf>
    <xf numFmtId="192" fontId="4" fillId="0" borderId="0" xfId="0" applyNumberFormat="1" applyFont="1"/>
    <xf numFmtId="190" fontId="0" fillId="0" borderId="37" xfId="0" applyNumberFormat="1" applyFont="1" applyFill="1" applyBorder="1" applyAlignment="1">
      <alignment horizontal="center" vertical="center"/>
    </xf>
    <xf numFmtId="190" fontId="0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190" fontId="8" fillId="0" borderId="6" xfId="0" applyNumberFormat="1" applyFont="1" applyFill="1" applyBorder="1" applyAlignment="1">
      <alignment horizontal="center" vertical="center" wrapText="1"/>
    </xf>
    <xf numFmtId="193" fontId="4" fillId="0" borderId="0" xfId="0" applyNumberFormat="1" applyFont="1"/>
    <xf numFmtId="195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3" fontId="0" fillId="0" borderId="41" xfId="0" applyNumberFormat="1" applyFont="1" applyFill="1" applyBorder="1" applyAlignment="1">
      <alignment horizontal="center" vertical="center" wrapText="1"/>
    </xf>
    <xf numFmtId="195" fontId="4" fillId="0" borderId="0" xfId="0" applyNumberFormat="1" applyFont="1"/>
    <xf numFmtId="3" fontId="112" fillId="69" borderId="56" xfId="712" applyNumberFormat="1" applyFont="1" applyFill="1" applyBorder="1" applyAlignment="1">
      <alignment horizontal="center" vertical="center" wrapText="1"/>
    </xf>
    <xf numFmtId="0" fontId="114" fillId="0" borderId="0" xfId="712" applyFont="1" applyBorder="1"/>
    <xf numFmtId="3" fontId="115" fillId="0" borderId="0" xfId="712" applyNumberFormat="1" applyFont="1" applyFill="1" applyBorder="1" applyAlignment="1">
      <alignment horizontal="center"/>
    </xf>
    <xf numFmtId="0" fontId="116" fillId="0" borderId="0" xfId="712" applyFont="1" applyFill="1" applyBorder="1"/>
    <xf numFmtId="0" fontId="117" fillId="0" borderId="0" xfId="712" applyFont="1" applyAlignment="1">
      <alignment horizontal="center"/>
    </xf>
    <xf numFmtId="0" fontId="114" fillId="0" borderId="0" xfId="712" applyFont="1" applyAlignment="1">
      <alignment horizontal="center"/>
    </xf>
    <xf numFmtId="0" fontId="117" fillId="0" borderId="6" xfId="712" applyFont="1" applyBorder="1"/>
    <xf numFmtId="0" fontId="114" fillId="69" borderId="6" xfId="712" applyFont="1" applyFill="1" applyBorder="1" applyAlignment="1">
      <alignment horizontal="center"/>
    </xf>
    <xf numFmtId="0" fontId="114" fillId="0" borderId="6" xfId="712" applyFont="1" applyBorder="1"/>
    <xf numFmtId="3" fontId="112" fillId="69" borderId="6" xfId="712" applyNumberFormat="1" applyFont="1" applyFill="1" applyBorder="1" applyAlignment="1">
      <alignment horizontal="center"/>
    </xf>
    <xf numFmtId="3" fontId="115" fillId="69" borderId="6" xfId="712" applyNumberFormat="1" applyFont="1" applyFill="1" applyBorder="1" applyAlignment="1">
      <alignment horizontal="center"/>
    </xf>
    <xf numFmtId="3" fontId="112" fillId="0" borderId="56" xfId="712" applyNumberFormat="1" applyFont="1" applyFill="1" applyBorder="1" applyAlignment="1">
      <alignment horizontal="center" vertical="center" wrapText="1"/>
    </xf>
    <xf numFmtId="3" fontId="112" fillId="0" borderId="6" xfId="712" applyNumberFormat="1" applyFont="1" applyFill="1" applyBorder="1" applyAlignment="1">
      <alignment horizontal="center"/>
    </xf>
    <xf numFmtId="0" fontId="118" fillId="70" borderId="6" xfId="712" applyFont="1" applyFill="1" applyBorder="1"/>
    <xf numFmtId="3" fontId="118" fillId="70" borderId="6" xfId="712" applyNumberFormat="1" applyFont="1" applyFill="1" applyBorder="1" applyAlignment="1">
      <alignment horizontal="center"/>
    </xf>
    <xf numFmtId="3" fontId="115" fillId="70" borderId="6" xfId="712" applyNumberFormat="1" applyFont="1" applyFill="1" applyBorder="1" applyAlignment="1">
      <alignment horizontal="center"/>
    </xf>
    <xf numFmtId="192" fontId="113" fillId="0" borderId="0" xfId="0" applyNumberFormat="1" applyFont="1" applyAlignment="1">
      <alignment horizontal="center"/>
    </xf>
    <xf numFmtId="192" fontId="8" fillId="0" borderId="36" xfId="0" applyNumberFormat="1" applyFont="1" applyFill="1" applyBorder="1" applyAlignment="1">
      <alignment horizontal="center" wrapText="1"/>
    </xf>
    <xf numFmtId="196" fontId="0" fillId="0" borderId="36" xfId="0" applyNumberFormat="1" applyFont="1" applyFill="1" applyBorder="1" applyAlignment="1">
      <alignment horizontal="center"/>
    </xf>
    <xf numFmtId="196" fontId="0" fillId="0" borderId="6" xfId="0" applyNumberFormat="1" applyFont="1" applyFill="1" applyBorder="1" applyAlignment="1">
      <alignment horizontal="center"/>
    </xf>
    <xf numFmtId="197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/>
    </xf>
    <xf numFmtId="0" fontId="108" fillId="0" borderId="0" xfId="712" applyFont="1" applyBorder="1"/>
    <xf numFmtId="3" fontId="110" fillId="0" borderId="0" xfId="712" applyNumberFormat="1" applyFont="1" applyFill="1" applyBorder="1" applyAlignment="1">
      <alignment horizontal="center"/>
    </xf>
    <xf numFmtId="195" fontId="0" fillId="0" borderId="0" xfId="0" applyNumberFormat="1" applyFont="1"/>
    <xf numFmtId="193" fontId="0" fillId="0" borderId="0" xfId="0" applyNumberFormat="1" applyFont="1"/>
    <xf numFmtId="192" fontId="119" fillId="0" borderId="0" xfId="0" applyNumberFormat="1" applyFont="1" applyAlignment="1">
      <alignment horizontal="center"/>
    </xf>
    <xf numFmtId="193" fontId="119" fillId="0" borderId="0" xfId="0" applyNumberFormat="1" applyFont="1" applyAlignment="1">
      <alignment horizontal="center"/>
    </xf>
    <xf numFmtId="198" fontId="4" fillId="0" borderId="0" xfId="0" applyNumberFormat="1" applyFont="1" applyAlignment="1">
      <alignment horizontal="center"/>
    </xf>
    <xf numFmtId="199" fontId="4" fillId="0" borderId="0" xfId="0" applyNumberFormat="1" applyFont="1"/>
    <xf numFmtId="198" fontId="4" fillId="0" borderId="0" xfId="0" applyNumberFormat="1" applyFont="1"/>
    <xf numFmtId="200" fontId="119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 vertical="center"/>
    </xf>
    <xf numFmtId="200" fontId="119" fillId="0" borderId="0" xfId="0" applyNumberFormat="1" applyFont="1" applyAlignment="1">
      <alignment horizontal="center" vertical="center"/>
    </xf>
    <xf numFmtId="198" fontId="4" fillId="0" borderId="0" xfId="0" applyNumberFormat="1" applyFont="1" applyAlignment="1">
      <alignment horizontal="center" vertical="center"/>
    </xf>
    <xf numFmtId="193" fontId="119" fillId="0" borderId="0" xfId="0" applyNumberFormat="1" applyFont="1" applyAlignment="1">
      <alignment horizontal="center" vertical="center"/>
    </xf>
    <xf numFmtId="192" fontId="113" fillId="0" borderId="0" xfId="0" applyNumberFormat="1" applyFont="1" applyAlignment="1">
      <alignment horizontal="center" vertical="center"/>
    </xf>
    <xf numFmtId="195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3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2" fontId="4" fillId="0" borderId="0" xfId="0" applyNumberFormat="1" applyFont="1" applyFill="1" applyAlignment="1">
      <alignment horizontal="center" vertical="center"/>
    </xf>
    <xf numFmtId="19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8" fillId="0" borderId="0" xfId="712" applyFont="1" applyBorder="1" applyAlignment="1">
      <alignment vertical="center"/>
    </xf>
    <xf numFmtId="0" fontId="106" fillId="0" borderId="0" xfId="712" applyFont="1" applyFill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96" fontId="4" fillId="0" borderId="0" xfId="0" applyNumberFormat="1" applyFont="1"/>
    <xf numFmtId="192" fontId="0" fillId="0" borderId="0" xfId="0" applyNumberFormat="1" applyFont="1" applyFill="1" applyAlignment="1">
      <alignment horizontal="center" vertical="center"/>
    </xf>
    <xf numFmtId="192" fontId="119" fillId="0" borderId="0" xfId="0" applyNumberFormat="1" applyFont="1" applyAlignment="1">
      <alignment horizontal="center" vertical="center"/>
    </xf>
    <xf numFmtId="0" fontId="108" fillId="0" borderId="6" xfId="712" applyFont="1" applyBorder="1" applyAlignment="1">
      <alignment horizontal="left" vertical="center"/>
    </xf>
    <xf numFmtId="0" fontId="111" fillId="70" borderId="6" xfId="712" applyFont="1" applyFill="1" applyBorder="1" applyAlignment="1">
      <alignment horizontal="left" vertical="center"/>
    </xf>
    <xf numFmtId="0" fontId="108" fillId="0" borderId="0" xfId="712" applyFont="1" applyBorder="1" applyAlignment="1">
      <alignment horizontal="left" vertical="center"/>
    </xf>
    <xf numFmtId="0" fontId="106" fillId="0" borderId="0" xfId="712" applyFont="1" applyFill="1" applyBorder="1" applyAlignment="1">
      <alignment horizontal="left" vertical="center"/>
    </xf>
    <xf numFmtId="0" fontId="108" fillId="0" borderId="0" xfId="712" applyFont="1" applyAlignment="1">
      <alignment horizontal="right" vertical="center"/>
    </xf>
    <xf numFmtId="198" fontId="0" fillId="0" borderId="0" xfId="0" applyNumberFormat="1" applyFont="1" applyAlignment="1">
      <alignment horizontal="center"/>
    </xf>
    <xf numFmtId="198" fontId="0" fillId="0" borderId="0" xfId="0" applyNumberFormat="1" applyFont="1" applyAlignment="1">
      <alignment horizontal="center" vertical="center"/>
    </xf>
    <xf numFmtId="192" fontId="120" fillId="0" borderId="0" xfId="0" applyNumberFormat="1" applyFont="1" applyAlignment="1">
      <alignment horizontal="center" vertical="center"/>
    </xf>
    <xf numFmtId="193" fontId="120" fillId="0" borderId="0" xfId="0" applyNumberFormat="1" applyFont="1" applyAlignment="1">
      <alignment horizontal="center" vertical="center"/>
    </xf>
    <xf numFmtId="17" fontId="9" fillId="0" borderId="40" xfId="0" applyNumberFormat="1" applyFont="1" applyBorder="1" applyAlignment="1">
      <alignment horizontal="left" vertical="center"/>
    </xf>
    <xf numFmtId="192" fontId="0" fillId="0" borderId="41" xfId="0" applyNumberFormat="1" applyFont="1" applyFill="1" applyBorder="1" applyAlignment="1">
      <alignment horizontal="center" vertical="center" wrapText="1"/>
    </xf>
    <xf numFmtId="0" fontId="122" fillId="0" borderId="0" xfId="0" applyFont="1"/>
    <xf numFmtId="0" fontId="122" fillId="0" borderId="0" xfId="0" applyFont="1" applyAlignment="1">
      <alignment horizontal="center"/>
    </xf>
    <xf numFmtId="0" fontId="124" fillId="0" borderId="0" xfId="712" applyFont="1" applyBorder="1" applyAlignment="1">
      <alignment horizontal="left" vertical="center"/>
    </xf>
    <xf numFmtId="3" fontId="125" fillId="0" borderId="0" xfId="712" applyNumberFormat="1" applyFont="1" applyFill="1" applyBorder="1" applyAlignment="1">
      <alignment horizontal="center"/>
    </xf>
    <xf numFmtId="192" fontId="122" fillId="0" borderId="0" xfId="0" applyNumberFormat="1" applyFont="1" applyAlignment="1">
      <alignment horizontal="center" vertical="center"/>
    </xf>
    <xf numFmtId="0" fontId="122" fillId="0" borderId="6" xfId="712" applyFont="1" applyBorder="1"/>
    <xf numFmtId="0" fontId="124" fillId="69" borderId="6" xfId="712" applyFont="1" applyFill="1" applyBorder="1" applyAlignment="1">
      <alignment horizontal="center" vertical="center"/>
    </xf>
    <xf numFmtId="192" fontId="128" fillId="0" borderId="0" xfId="0" applyNumberFormat="1" applyFont="1" applyAlignment="1">
      <alignment horizontal="center" vertical="center"/>
    </xf>
    <xf numFmtId="0" fontId="124" fillId="0" borderId="6" xfId="712" applyFont="1" applyBorder="1" applyAlignment="1">
      <alignment horizontal="left" vertical="center"/>
    </xf>
    <xf numFmtId="3" fontId="129" fillId="69" borderId="56" xfId="712" applyNumberFormat="1" applyFont="1" applyFill="1" applyBorder="1" applyAlignment="1">
      <alignment horizontal="center" vertical="center" wrapText="1"/>
    </xf>
    <xf numFmtId="3" fontId="129" fillId="69" borderId="6" xfId="712" applyNumberFormat="1" applyFont="1" applyFill="1" applyBorder="1" applyAlignment="1">
      <alignment horizontal="center" vertical="center"/>
    </xf>
    <xf numFmtId="192" fontId="122" fillId="0" borderId="0" xfId="0" applyNumberFormat="1" applyFont="1" applyAlignment="1">
      <alignment horizontal="center"/>
    </xf>
    <xf numFmtId="0" fontId="127" fillId="0" borderId="0" xfId="712" applyFont="1" applyFill="1" applyBorder="1" applyAlignment="1">
      <alignment horizontal="left" vertical="center"/>
    </xf>
    <xf numFmtId="0" fontId="122" fillId="0" borderId="0" xfId="712" applyFont="1" applyAlignment="1">
      <alignment horizontal="center"/>
    </xf>
    <xf numFmtId="0" fontId="124" fillId="0" borderId="0" xfId="712" applyFont="1" applyAlignment="1">
      <alignment horizontal="right" vertical="center"/>
    </xf>
    <xf numFmtId="3" fontId="125" fillId="69" borderId="6" xfId="712" applyNumberFormat="1" applyFont="1" applyFill="1" applyBorder="1" applyAlignment="1">
      <alignment horizontal="center" vertical="center"/>
    </xf>
    <xf numFmtId="0" fontId="122" fillId="0" borderId="0" xfId="0" applyFont="1" applyFill="1"/>
    <xf numFmtId="3" fontId="129" fillId="0" borderId="56" xfId="712" applyNumberFormat="1" applyFont="1" applyFill="1" applyBorder="1" applyAlignment="1">
      <alignment horizontal="center" vertical="center" wrapText="1"/>
    </xf>
    <xf numFmtId="3" fontId="129" fillId="0" borderId="6" xfId="712" applyNumberFormat="1" applyFont="1" applyFill="1" applyBorder="1" applyAlignment="1">
      <alignment horizontal="center" vertical="center"/>
    </xf>
    <xf numFmtId="195" fontId="122" fillId="0" borderId="0" xfId="0" applyNumberFormat="1" applyFont="1" applyAlignment="1">
      <alignment horizontal="center"/>
    </xf>
    <xf numFmtId="0" fontId="123" fillId="70" borderId="6" xfId="712" applyFont="1" applyFill="1" applyBorder="1" applyAlignment="1">
      <alignment horizontal="left" vertical="center"/>
    </xf>
    <xf numFmtId="3" fontId="123" fillId="70" borderId="6" xfId="712" applyNumberFormat="1" applyFont="1" applyFill="1" applyBorder="1" applyAlignment="1">
      <alignment horizontal="center" vertical="center"/>
    </xf>
    <xf numFmtId="0" fontId="122" fillId="0" borderId="0" xfId="0" applyFont="1" applyAlignment="1">
      <alignment horizontal="left" vertical="center"/>
    </xf>
    <xf numFmtId="0" fontId="122" fillId="0" borderId="0" xfId="0" applyFont="1" applyAlignment="1">
      <alignment vertical="center"/>
    </xf>
    <xf numFmtId="197" fontId="122" fillId="0" borderId="0" xfId="0" applyNumberFormat="1" applyFont="1" applyAlignment="1">
      <alignment horizontal="center" vertical="center"/>
    </xf>
    <xf numFmtId="198" fontId="122" fillId="0" borderId="0" xfId="0" applyNumberFormat="1" applyFont="1" applyAlignment="1">
      <alignment horizontal="center" vertical="center"/>
    </xf>
    <xf numFmtId="193" fontId="122" fillId="0" borderId="0" xfId="0" applyNumberFormat="1" applyFont="1" applyAlignment="1">
      <alignment horizontal="left" vertical="center"/>
    </xf>
    <xf numFmtId="193" fontId="122" fillId="0" borderId="0" xfId="0" applyNumberFormat="1" applyFont="1"/>
    <xf numFmtId="193" fontId="128" fillId="0" borderId="0" xfId="0" applyNumberFormat="1" applyFont="1" applyAlignment="1">
      <alignment horizontal="center" vertical="center"/>
    </xf>
    <xf numFmtId="199" fontId="122" fillId="0" borderId="0" xfId="0" applyNumberFormat="1" applyFont="1"/>
    <xf numFmtId="198" fontId="122" fillId="0" borderId="0" xfId="0" applyNumberFormat="1" applyFont="1"/>
    <xf numFmtId="193" fontId="122" fillId="0" borderId="0" xfId="0" applyNumberFormat="1" applyFont="1" applyAlignment="1">
      <alignment horizontal="center"/>
    </xf>
    <xf numFmtId="192" fontId="122" fillId="0" borderId="0" xfId="0" applyNumberFormat="1" applyFont="1"/>
    <xf numFmtId="3" fontId="122" fillId="0" borderId="0" xfId="0" applyNumberFormat="1" applyFont="1"/>
    <xf numFmtId="17" fontId="126" fillId="0" borderId="0" xfId="0" applyNumberFormat="1" applyFont="1" applyFill="1" applyBorder="1" applyAlignment="1">
      <alignment horizontal="left" vertical="center"/>
    </xf>
    <xf numFmtId="3" fontId="122" fillId="0" borderId="0" xfId="0" applyNumberFormat="1" applyFont="1" applyAlignment="1">
      <alignment horizontal="center" vertical="center"/>
    </xf>
    <xf numFmtId="0" fontId="122" fillId="0" borderId="0" xfId="0" applyFont="1" applyAlignment="1">
      <alignment horizontal="center" vertical="center"/>
    </xf>
    <xf numFmtId="192" fontId="122" fillId="0" borderId="0" xfId="0" applyNumberFormat="1" applyFont="1" applyFill="1" applyAlignment="1">
      <alignment horizontal="center" vertical="center"/>
    </xf>
    <xf numFmtId="192" fontId="130" fillId="0" borderId="0" xfId="0" applyNumberFormat="1" applyFont="1" applyAlignment="1">
      <alignment horizontal="center" vertical="center"/>
    </xf>
    <xf numFmtId="196" fontId="122" fillId="0" borderId="0" xfId="0" applyNumberFormat="1" applyFont="1"/>
    <xf numFmtId="192" fontId="129" fillId="0" borderId="33" xfId="0" applyNumberFormat="1" applyFont="1" applyFill="1" applyBorder="1" applyAlignment="1">
      <alignment horizontal="center" vertical="center"/>
    </xf>
    <xf numFmtId="192" fontId="132" fillId="0" borderId="6" xfId="0" applyNumberFormat="1" applyFont="1" applyFill="1" applyBorder="1" applyAlignment="1">
      <alignment horizontal="center" vertical="center"/>
    </xf>
    <xf numFmtId="192" fontId="129" fillId="0" borderId="6" xfId="0" applyNumberFormat="1" applyFont="1" applyFill="1" applyBorder="1" applyAlignment="1">
      <alignment horizontal="center" vertical="center"/>
    </xf>
    <xf numFmtId="192" fontId="131" fillId="0" borderId="6" xfId="0" applyNumberFormat="1" applyFont="1" applyFill="1" applyBorder="1" applyAlignment="1">
      <alignment horizontal="center" vertical="center"/>
    </xf>
    <xf numFmtId="192" fontId="125" fillId="0" borderId="6" xfId="0" applyNumberFormat="1" applyFont="1" applyFill="1" applyBorder="1" applyAlignment="1">
      <alignment horizontal="center" vertical="center"/>
    </xf>
    <xf numFmtId="193" fontId="129" fillId="0" borderId="33" xfId="0" applyNumberFormat="1" applyFont="1" applyFill="1" applyBorder="1" applyAlignment="1">
      <alignment horizontal="center" vertical="center"/>
    </xf>
    <xf numFmtId="3" fontId="129" fillId="0" borderId="33" xfId="0" applyNumberFormat="1" applyFont="1" applyFill="1" applyBorder="1" applyAlignment="1">
      <alignment horizontal="center"/>
    </xf>
    <xf numFmtId="196" fontId="129" fillId="0" borderId="33" xfId="0" applyNumberFormat="1" applyFont="1" applyFill="1" applyBorder="1" applyAlignment="1">
      <alignment horizontal="center"/>
    </xf>
    <xf numFmtId="3" fontId="132" fillId="0" borderId="6" xfId="0" applyNumberFormat="1" applyFont="1" applyFill="1" applyBorder="1" applyAlignment="1">
      <alignment horizontal="center"/>
    </xf>
    <xf numFmtId="196" fontId="129" fillId="0" borderId="6" xfId="0" applyNumberFormat="1" applyFont="1" applyFill="1" applyBorder="1" applyAlignment="1">
      <alignment horizontal="center"/>
    </xf>
    <xf numFmtId="3" fontId="129" fillId="0" borderId="6" xfId="0" applyNumberFormat="1" applyFont="1" applyFill="1" applyBorder="1" applyAlignment="1">
      <alignment horizontal="center"/>
    </xf>
    <xf numFmtId="0" fontId="129" fillId="0" borderId="0" xfId="0" applyFont="1"/>
    <xf numFmtId="192" fontId="129" fillId="0" borderId="0" xfId="0" applyNumberFormat="1" applyFont="1" applyAlignment="1">
      <alignment horizontal="center" vertical="center"/>
    </xf>
    <xf numFmtId="195" fontId="129" fillId="0" borderId="0" xfId="0" applyNumberFormat="1" applyFont="1" applyAlignment="1">
      <alignment horizontal="left" vertical="center"/>
    </xf>
    <xf numFmtId="0" fontId="129" fillId="0" borderId="6" xfId="712" applyFont="1" applyBorder="1"/>
    <xf numFmtId="0" fontId="125" fillId="69" borderId="6" xfId="712" applyFont="1" applyFill="1" applyBorder="1" applyAlignment="1">
      <alignment horizontal="center" vertical="center"/>
    </xf>
    <xf numFmtId="17" fontId="129" fillId="0" borderId="6" xfId="0" applyNumberFormat="1" applyFont="1" applyBorder="1" applyAlignment="1">
      <alignment horizontal="right" vertical="center"/>
    </xf>
    <xf numFmtId="17" fontId="131" fillId="0" borderId="6" xfId="0" applyNumberFormat="1" applyFont="1" applyBorder="1" applyAlignment="1">
      <alignment horizontal="center" vertical="center"/>
    </xf>
    <xf numFmtId="17" fontId="125" fillId="0" borderId="6" xfId="0" applyNumberFormat="1" applyFont="1" applyBorder="1" applyAlignment="1">
      <alignment horizontal="center" vertical="center"/>
    </xf>
    <xf numFmtId="17" fontId="129" fillId="0" borderId="33" xfId="0" applyNumberFormat="1" applyFont="1" applyBorder="1" applyAlignment="1">
      <alignment horizontal="right" vertical="center"/>
    </xf>
    <xf numFmtId="193" fontId="129" fillId="0" borderId="6" xfId="0" applyNumberFormat="1" applyFont="1" applyFill="1" applyBorder="1" applyAlignment="1">
      <alignment horizontal="center" vertical="center"/>
    </xf>
    <xf numFmtId="17" fontId="129" fillId="0" borderId="6" xfId="0" applyNumberFormat="1" applyFont="1" applyBorder="1" applyAlignment="1">
      <alignment horizontal="right" vertical="center" wrapText="1"/>
    </xf>
    <xf numFmtId="0" fontId="123" fillId="0" borderId="61" xfId="0" applyFont="1" applyBorder="1" applyAlignment="1">
      <alignment horizontal="center" vertical="top" wrapText="1"/>
    </xf>
    <xf numFmtId="4" fontId="123" fillId="0" borderId="61" xfId="0" applyNumberFormat="1" applyFont="1" applyBorder="1" applyAlignment="1">
      <alignment horizontal="center" vertical="top" wrapText="1"/>
    </xf>
    <xf numFmtId="17" fontId="123" fillId="72" borderId="58" xfId="0" applyNumberFormat="1" applyFont="1" applyFill="1" applyBorder="1" applyAlignment="1">
      <alignment horizontal="center" vertical="center" wrapText="1"/>
    </xf>
    <xf numFmtId="192" fontId="123" fillId="72" borderId="59" xfId="0" applyNumberFormat="1" applyFont="1" applyFill="1" applyBorder="1" applyAlignment="1">
      <alignment horizontal="center" vertical="center"/>
    </xf>
    <xf numFmtId="192" fontId="123" fillId="72" borderId="59" xfId="0" applyNumberFormat="1" applyFont="1" applyFill="1" applyBorder="1" applyAlignment="1">
      <alignment horizontal="center"/>
    </xf>
    <xf numFmtId="196" fontId="133" fillId="72" borderId="59" xfId="0" applyNumberFormat="1" applyFont="1" applyFill="1" applyBorder="1" applyAlignment="1">
      <alignment horizontal="center"/>
    </xf>
    <xf numFmtId="3" fontId="133" fillId="72" borderId="59" xfId="0" applyNumberFormat="1" applyFont="1" applyFill="1" applyBorder="1" applyAlignment="1">
      <alignment horizontal="center"/>
    </xf>
    <xf numFmtId="3" fontId="133" fillId="72" borderId="60" xfId="0" applyNumberFormat="1" applyFont="1" applyFill="1" applyBorder="1" applyAlignment="1">
      <alignment horizontal="center"/>
    </xf>
    <xf numFmtId="17" fontId="123" fillId="72" borderId="58" xfId="0" applyNumberFormat="1" applyFont="1" applyFill="1" applyBorder="1" applyAlignment="1">
      <alignment horizontal="center" vertical="center"/>
    </xf>
    <xf numFmtId="193" fontId="123" fillId="72" borderId="59" xfId="0" applyNumberFormat="1" applyFont="1" applyFill="1" applyBorder="1" applyAlignment="1">
      <alignment horizontal="center" vertical="center"/>
    </xf>
    <xf numFmtId="193" fontId="123" fillId="72" borderId="60" xfId="0" applyNumberFormat="1" applyFont="1" applyFill="1" applyBorder="1" applyAlignment="1">
      <alignment horizontal="center" vertical="center"/>
    </xf>
    <xf numFmtId="192" fontId="123" fillId="72" borderId="60" xfId="0" applyNumberFormat="1" applyFont="1" applyFill="1" applyBorder="1" applyAlignment="1">
      <alignment horizontal="center" vertical="center"/>
    </xf>
    <xf numFmtId="0" fontId="123" fillId="0" borderId="61" xfId="0" applyFont="1" applyBorder="1" applyAlignment="1">
      <alignment horizontal="center" vertical="center" wrapText="1"/>
    </xf>
    <xf numFmtId="17" fontId="129" fillId="0" borderId="6" xfId="0" applyNumberFormat="1" applyFont="1" applyFill="1" applyBorder="1" applyAlignment="1">
      <alignment horizontal="right" vertical="center"/>
    </xf>
    <xf numFmtId="0" fontId="124" fillId="0" borderId="0" xfId="712" applyFont="1" applyBorder="1"/>
    <xf numFmtId="0" fontId="127" fillId="0" borderId="0" xfId="712" applyFont="1" applyFill="1" applyBorder="1"/>
    <xf numFmtId="0" fontId="124" fillId="0" borderId="0" xfId="712" applyFont="1" applyAlignment="1">
      <alignment horizontal="center"/>
    </xf>
    <xf numFmtId="0" fontId="124" fillId="69" borderId="6" xfId="712" applyFont="1" applyFill="1" applyBorder="1" applyAlignment="1">
      <alignment horizontal="center"/>
    </xf>
    <xf numFmtId="0" fontId="124" fillId="0" borderId="6" xfId="712" applyFont="1" applyBorder="1"/>
    <xf numFmtId="3" fontId="129" fillId="69" borderId="6" xfId="712" applyNumberFormat="1" applyFont="1" applyFill="1" applyBorder="1" applyAlignment="1">
      <alignment horizontal="center"/>
    </xf>
    <xf numFmtId="3" fontId="125" fillId="69" borderId="6" xfId="712" applyNumberFormat="1" applyFont="1" applyFill="1" applyBorder="1" applyAlignment="1">
      <alignment horizontal="center"/>
    </xf>
    <xf numFmtId="3" fontId="129" fillId="0" borderId="6" xfId="712" applyNumberFormat="1" applyFont="1" applyFill="1" applyBorder="1" applyAlignment="1">
      <alignment horizontal="center"/>
    </xf>
    <xf numFmtId="0" fontId="123" fillId="70" borderId="6" xfId="712" applyFont="1" applyFill="1" applyBorder="1"/>
    <xf numFmtId="3" fontId="123" fillId="70" borderId="6" xfId="712" applyNumberFormat="1" applyFont="1" applyFill="1" applyBorder="1" applyAlignment="1">
      <alignment horizontal="center"/>
    </xf>
    <xf numFmtId="3" fontId="125" fillId="70" borderId="6" xfId="712" applyNumberFormat="1" applyFont="1" applyFill="1" applyBorder="1" applyAlignment="1">
      <alignment horizontal="center"/>
    </xf>
    <xf numFmtId="0" fontId="122" fillId="0" borderId="0" xfId="0" applyFont="1" applyAlignment="1">
      <alignment horizontal="right" vertical="center"/>
    </xf>
    <xf numFmtId="3" fontId="8" fillId="0" borderId="44" xfId="0" applyNumberFormat="1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3" fontId="8" fillId="0" borderId="34" xfId="0" applyNumberFormat="1" applyFont="1" applyBorder="1" applyAlignment="1">
      <alignment horizontal="center" wrapText="1"/>
    </xf>
    <xf numFmtId="0" fontId="68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7" fontId="5" fillId="0" borderId="0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4" fontId="7" fillId="0" borderId="47" xfId="0" applyNumberFormat="1" applyFont="1" applyBorder="1" applyAlignment="1">
      <alignment horizontal="center" wrapText="1"/>
    </xf>
    <xf numFmtId="4" fontId="7" fillId="0" borderId="45" xfId="0" applyNumberFormat="1" applyFont="1" applyBorder="1" applyAlignment="1">
      <alignment horizontal="center" wrapText="1"/>
    </xf>
    <xf numFmtId="4" fontId="7" fillId="0" borderId="20" xfId="0" applyNumberFormat="1" applyFont="1" applyBorder="1" applyAlignment="1">
      <alignment horizontal="center" wrapText="1"/>
    </xf>
    <xf numFmtId="3" fontId="8" fillId="0" borderId="54" xfId="0" applyNumberFormat="1" applyFont="1" applyBorder="1" applyAlignment="1">
      <alignment horizontal="center" wrapText="1"/>
    </xf>
    <xf numFmtId="3" fontId="8" fillId="0" borderId="3" xfId="0" applyNumberFormat="1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 wrapText="1"/>
    </xf>
    <xf numFmtId="17" fontId="5" fillId="0" borderId="53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3" fontId="8" fillId="0" borderId="54" xfId="0" applyNumberFormat="1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horizontal="center" wrapText="1"/>
    </xf>
    <xf numFmtId="3" fontId="8" fillId="0" borderId="55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horizontal="center" vertical="center" wrapText="1"/>
    </xf>
    <xf numFmtId="194" fontId="5" fillId="0" borderId="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123" fillId="0" borderId="62" xfId="0" applyNumberFormat="1" applyFont="1" applyFill="1" applyBorder="1" applyAlignment="1">
      <alignment horizontal="center" vertical="center"/>
    </xf>
    <xf numFmtId="0" fontId="121" fillId="0" borderId="0" xfId="0" applyFont="1" applyAlignment="1">
      <alignment horizontal="center" vertical="center"/>
    </xf>
    <xf numFmtId="0" fontId="121" fillId="0" borderId="0" xfId="0" applyFont="1" applyAlignment="1">
      <alignment horizontal="center" vertical="center" wrapText="1"/>
    </xf>
    <xf numFmtId="194" fontId="121" fillId="0" borderId="0" xfId="0" applyNumberFormat="1" applyFont="1" applyBorder="1" applyAlignment="1">
      <alignment horizontal="center" vertical="center"/>
    </xf>
    <xf numFmtId="4" fontId="123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CCFFFF"/>
      <color rgb="FFFFDD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44"/>
  <sheetViews>
    <sheetView zoomScale="87" zoomScaleNormal="87" workbookViewId="0">
      <selection activeCell="F31" sqref="F31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72">
        <v>43831</v>
      </c>
      <c r="B3" s="372"/>
      <c r="C3" s="372"/>
      <c r="D3" s="372"/>
      <c r="E3" s="372"/>
      <c r="F3" s="372"/>
      <c r="G3" s="372"/>
      <c r="H3" s="372"/>
    </row>
    <row r="4" spans="1:8" ht="12.75" customHeight="1" x14ac:dyDescent="0.2">
      <c r="A4" s="373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7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7548382</v>
      </c>
      <c r="C6" s="24">
        <v>16760</v>
      </c>
      <c r="D6" s="24">
        <v>87170</v>
      </c>
      <c r="E6" s="24">
        <v>443688</v>
      </c>
      <c r="F6" s="24">
        <v>2952020</v>
      </c>
      <c r="G6" s="24">
        <v>0</v>
      </c>
      <c r="H6" s="34">
        <v>4048744</v>
      </c>
    </row>
    <row r="7" spans="1:8" x14ac:dyDescent="0.2">
      <c r="A7" s="38" t="s">
        <v>17</v>
      </c>
      <c r="B7" s="42">
        <v>7401942</v>
      </c>
      <c r="C7" s="4"/>
      <c r="D7" s="4">
        <v>87170</v>
      </c>
      <c r="E7" s="4">
        <v>443688</v>
      </c>
      <c r="F7" s="4">
        <v>2947492</v>
      </c>
      <c r="G7" s="4"/>
      <c r="H7" s="8">
        <v>3923592</v>
      </c>
    </row>
    <row r="8" spans="1:8" x14ac:dyDescent="0.2">
      <c r="A8" s="38" t="s">
        <v>7</v>
      </c>
      <c r="B8" s="42">
        <v>124254</v>
      </c>
      <c r="C8" s="4"/>
      <c r="D8" s="4"/>
      <c r="E8" s="4"/>
      <c r="F8" s="4">
        <v>4528</v>
      </c>
      <c r="G8" s="4"/>
      <c r="H8" s="8">
        <v>119726</v>
      </c>
    </row>
    <row r="9" spans="1:8" x14ac:dyDescent="0.2">
      <c r="A9" s="38" t="s">
        <v>8</v>
      </c>
      <c r="B9" s="42">
        <v>5426</v>
      </c>
      <c r="C9" s="4"/>
      <c r="D9" s="4"/>
      <c r="E9" s="4"/>
      <c r="F9" s="4"/>
      <c r="G9" s="4"/>
      <c r="H9" s="8">
        <v>5426</v>
      </c>
    </row>
    <row r="10" spans="1:8" x14ac:dyDescent="0.2">
      <c r="A10" s="38" t="s">
        <v>18</v>
      </c>
      <c r="B10" s="42">
        <v>16760</v>
      </c>
      <c r="C10" s="4">
        <v>16760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38785845</v>
      </c>
      <c r="C11" s="5">
        <v>119326</v>
      </c>
      <c r="D11" s="5">
        <v>562643</v>
      </c>
      <c r="E11" s="5">
        <v>127442</v>
      </c>
      <c r="F11" s="5">
        <v>2036896</v>
      </c>
      <c r="G11" s="5">
        <v>11480</v>
      </c>
      <c r="H11" s="35">
        <v>35928058</v>
      </c>
    </row>
    <row r="12" spans="1:8" x14ac:dyDescent="0.2">
      <c r="A12" s="38" t="s">
        <v>17</v>
      </c>
      <c r="B12" s="42">
        <v>37042807</v>
      </c>
      <c r="C12" s="4"/>
      <c r="D12" s="4">
        <v>562643</v>
      </c>
      <c r="E12" s="4">
        <v>127442</v>
      </c>
      <c r="F12" s="4">
        <v>2011860</v>
      </c>
      <c r="G12" s="4">
        <v>11480</v>
      </c>
      <c r="H12" s="6">
        <v>34329382</v>
      </c>
    </row>
    <row r="13" spans="1:8" x14ac:dyDescent="0.2">
      <c r="A13" s="38" t="s">
        <v>7</v>
      </c>
      <c r="B13" s="42">
        <v>1530160</v>
      </c>
      <c r="C13" s="7"/>
      <c r="D13" s="7"/>
      <c r="E13" s="7"/>
      <c r="F13" s="7">
        <v>25036</v>
      </c>
      <c r="G13" s="7"/>
      <c r="H13" s="6">
        <v>1505124</v>
      </c>
    </row>
    <row r="14" spans="1:8" x14ac:dyDescent="0.2">
      <c r="A14" s="38" t="s">
        <v>8</v>
      </c>
      <c r="B14" s="42">
        <v>93552</v>
      </c>
      <c r="C14" s="4"/>
      <c r="D14" s="4"/>
      <c r="E14" s="4"/>
      <c r="F14" s="4"/>
      <c r="G14" s="4"/>
      <c r="H14" s="6">
        <v>93552</v>
      </c>
    </row>
    <row r="15" spans="1:8" x14ac:dyDescent="0.2">
      <c r="A15" s="38" t="s">
        <v>18</v>
      </c>
      <c r="B15" s="42">
        <v>119326</v>
      </c>
      <c r="C15" s="4">
        <v>119326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71688971</v>
      </c>
      <c r="C16" s="5">
        <v>3705585</v>
      </c>
      <c r="D16" s="5">
        <v>13308152</v>
      </c>
      <c r="E16" s="5">
        <v>4471862</v>
      </c>
      <c r="F16" s="5">
        <v>40194613</v>
      </c>
      <c r="G16" s="5">
        <v>53488</v>
      </c>
      <c r="H16" s="35">
        <v>9955271</v>
      </c>
    </row>
    <row r="17" spans="1:8" x14ac:dyDescent="0.2">
      <c r="A17" s="38" t="s">
        <v>17</v>
      </c>
      <c r="B17" s="2">
        <v>67040549</v>
      </c>
      <c r="C17" s="4"/>
      <c r="D17" s="4">
        <v>13308152</v>
      </c>
      <c r="E17" s="4">
        <v>4460991</v>
      </c>
      <c r="F17" s="4">
        <v>39756865</v>
      </c>
      <c r="G17" s="4">
        <v>53488</v>
      </c>
      <c r="H17" s="6">
        <v>9461053</v>
      </c>
    </row>
    <row r="18" spans="1:8" x14ac:dyDescent="0.2">
      <c r="A18" s="38" t="s">
        <v>7</v>
      </c>
      <c r="B18" s="25">
        <v>863263</v>
      </c>
      <c r="C18" s="7"/>
      <c r="D18" s="7"/>
      <c r="E18" s="7">
        <v>10871</v>
      </c>
      <c r="F18" s="7">
        <v>385131</v>
      </c>
      <c r="G18" s="7"/>
      <c r="H18" s="6">
        <v>467261</v>
      </c>
    </row>
    <row r="19" spans="1:8" x14ac:dyDescent="0.2">
      <c r="A19" s="38" t="s">
        <v>8</v>
      </c>
      <c r="B19" s="2">
        <v>79574</v>
      </c>
      <c r="C19" s="4"/>
      <c r="D19" s="4"/>
      <c r="E19" s="4"/>
      <c r="F19" s="4">
        <v>52617</v>
      </c>
      <c r="G19" s="4"/>
      <c r="H19" s="8">
        <v>26957</v>
      </c>
    </row>
    <row r="20" spans="1:8" ht="19.5" customHeight="1" x14ac:dyDescent="0.2">
      <c r="A20" s="38" t="s">
        <v>18</v>
      </c>
      <c r="B20" s="2">
        <v>3705585</v>
      </c>
      <c r="C20" s="4">
        <v>3705585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118023198</v>
      </c>
      <c r="C21" s="9">
        <v>3841671</v>
      </c>
      <c r="D21" s="9">
        <v>13957965</v>
      </c>
      <c r="E21" s="9">
        <v>5042992</v>
      </c>
      <c r="F21" s="9">
        <v>45183529</v>
      </c>
      <c r="G21" s="9">
        <v>64968</v>
      </c>
      <c r="H21" s="36">
        <v>49932073</v>
      </c>
    </row>
    <row r="22" spans="1:8" ht="15.75" customHeight="1" x14ac:dyDescent="0.2">
      <c r="A22" s="39" t="s">
        <v>21</v>
      </c>
      <c r="B22" s="43">
        <v>138840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5456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67" t="s">
        <v>13</v>
      </c>
      <c r="C24" s="368"/>
      <c r="D24" s="368"/>
      <c r="E24" s="368"/>
      <c r="F24" s="368"/>
      <c r="G24" s="368"/>
      <c r="H24" s="369"/>
    </row>
    <row r="25" spans="1:8" ht="24.75" customHeight="1" x14ac:dyDescent="0.2">
      <c r="A25" s="47" t="s">
        <v>25</v>
      </c>
      <c r="B25" s="50">
        <v>11.203000000000001</v>
      </c>
      <c r="C25" s="26">
        <v>3.7010000000000001</v>
      </c>
      <c r="D25" s="26">
        <v>0.23899999999999999</v>
      </c>
      <c r="E25" s="26">
        <v>6.0000000000000001E-3</v>
      </c>
      <c r="F25" s="26">
        <v>6.21</v>
      </c>
      <c r="G25" s="26">
        <v>8.9999999999999993E-3</v>
      </c>
      <c r="H25" s="27">
        <v>1.038</v>
      </c>
    </row>
    <row r="26" spans="1:8" x14ac:dyDescent="0.2">
      <c r="A26" s="48" t="s">
        <v>18</v>
      </c>
      <c r="B26" s="51">
        <v>3.7010000000000001</v>
      </c>
      <c r="C26" s="28">
        <v>3.7010000000000001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7.479000000000001</v>
      </c>
      <c r="C27" s="28"/>
      <c r="D27" s="28">
        <v>0.23899999999999999</v>
      </c>
      <c r="E27" s="28">
        <v>6.0000000000000001E-3</v>
      </c>
      <c r="F27" s="28">
        <v>6.2030000000000003</v>
      </c>
      <c r="G27" s="28">
        <v>8.9999999999999993E-3</v>
      </c>
      <c r="H27" s="29">
        <v>1.022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26</v>
      </c>
      <c r="B31" s="41">
        <v>25174907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22876759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413541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1559370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249207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76030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R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8" width="9.140625" hidden="1" customWidth="1"/>
    <col min="19" max="19" width="9.140625" customWidth="1"/>
    <col min="20" max="20" width="20.14062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44105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5325294</v>
      </c>
      <c r="C6" s="83">
        <f>C7+C8+C9+C10</f>
        <v>25021</v>
      </c>
      <c r="D6" s="83">
        <f t="shared" ref="D6:F6" si="1">D7+D8+D9+D10</f>
        <v>65986</v>
      </c>
      <c r="E6" s="83">
        <f t="shared" si="1"/>
        <v>389676</v>
      </c>
      <c r="F6" s="83">
        <f t="shared" si="1"/>
        <v>2100913</v>
      </c>
      <c r="G6" s="83">
        <f>G7+G8+G9+G10</f>
        <v>0</v>
      </c>
      <c r="H6" s="83">
        <f>H7+H8+H9+H10</f>
        <v>2743698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5162141</v>
      </c>
      <c r="C7" s="7"/>
      <c r="D7" s="7">
        <v>65986</v>
      </c>
      <c r="E7" s="7">
        <v>389676</v>
      </c>
      <c r="F7" s="7">
        <v>2097310</v>
      </c>
      <c r="G7" s="7"/>
      <c r="H7" s="7">
        <v>2609169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133921</v>
      </c>
      <c r="C8" s="7"/>
      <c r="D8" s="7"/>
      <c r="E8" s="7"/>
      <c r="F8" s="7">
        <v>3603</v>
      </c>
      <c r="G8" s="7"/>
      <c r="H8" s="7">
        <v>130318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4211</v>
      </c>
      <c r="C9" s="7"/>
      <c r="D9" s="7"/>
      <c r="E9" s="7"/>
      <c r="F9" s="7"/>
      <c r="G9" s="7"/>
      <c r="H9" s="7">
        <v>4211</v>
      </c>
      <c r="K9" s="74" t="s">
        <v>41</v>
      </c>
      <c r="L9" s="75"/>
      <c r="M9" s="75">
        <v>0</v>
      </c>
      <c r="N9" s="75">
        <v>9672.0000000000036</v>
      </c>
      <c r="O9" s="75">
        <v>3355</v>
      </c>
      <c r="P9" s="75"/>
      <c r="Q9" s="75"/>
      <c r="R9" s="76">
        <f>SUM(L9:Q9)</f>
        <v>13027.000000000004</v>
      </c>
    </row>
    <row r="10" spans="1:18" ht="14.25" x14ac:dyDescent="0.2">
      <c r="A10" s="38" t="s">
        <v>18</v>
      </c>
      <c r="B10" s="2">
        <f t="shared" si="0"/>
        <v>25021</v>
      </c>
      <c r="C10" s="7">
        <v>25021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9672.0000000000036</v>
      </c>
      <c r="O10" s="77">
        <f t="shared" si="2"/>
        <v>3355</v>
      </c>
      <c r="P10" s="77">
        <f t="shared" si="2"/>
        <v>0</v>
      </c>
      <c r="Q10" s="77">
        <f t="shared" si="2"/>
        <v>0</v>
      </c>
      <c r="R10" s="77">
        <f>SUM(L10:Q10)</f>
        <v>13027.000000000004</v>
      </c>
    </row>
    <row r="11" spans="1:18" ht="15" x14ac:dyDescent="0.25">
      <c r="A11" s="39" t="s">
        <v>9</v>
      </c>
      <c r="B11" s="67">
        <f>D11+E11+F11+G11+H11+C11</f>
        <v>33649993</v>
      </c>
      <c r="C11" s="59">
        <f>C12+C13+C14+C15</f>
        <v>114967</v>
      </c>
      <c r="D11" s="59">
        <f t="shared" ref="D11:G11" si="3">D12+D13+D14+D15</f>
        <v>576234</v>
      </c>
      <c r="E11" s="59">
        <f t="shared" si="3"/>
        <v>151247</v>
      </c>
      <c r="F11" s="59">
        <f t="shared" si="3"/>
        <v>2206959</v>
      </c>
      <c r="G11" s="59">
        <f t="shared" si="3"/>
        <v>16760</v>
      </c>
      <c r="H11" s="59">
        <f>H12+H13+H14+H15</f>
        <v>30583826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32026431</v>
      </c>
      <c r="C12" s="7"/>
      <c r="D12" s="7">
        <v>576234</v>
      </c>
      <c r="E12" s="7">
        <v>145984</v>
      </c>
      <c r="F12" s="7">
        <v>2179421</v>
      </c>
      <c r="G12" s="7">
        <v>16760</v>
      </c>
      <c r="H12" s="6">
        <v>29108032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9672.0000000000036</v>
      </c>
      <c r="O12" s="81">
        <f t="shared" si="4"/>
        <v>3355</v>
      </c>
      <c r="P12" s="81">
        <f t="shared" si="4"/>
        <v>0</v>
      </c>
      <c r="Q12" s="81">
        <f t="shared" si="4"/>
        <v>0</v>
      </c>
      <c r="R12" s="82">
        <f>SUM(L12:Q12)</f>
        <v>13027.000000000004</v>
      </c>
    </row>
    <row r="13" spans="1:18" x14ac:dyDescent="0.2">
      <c r="A13" s="38" t="s">
        <v>7</v>
      </c>
      <c r="B13" s="25">
        <f t="shared" si="0"/>
        <v>1420512</v>
      </c>
      <c r="C13" s="7"/>
      <c r="D13" s="7"/>
      <c r="E13" s="7">
        <v>5263</v>
      </c>
      <c r="F13" s="7">
        <v>27538</v>
      </c>
      <c r="G13" s="7"/>
      <c r="H13" s="6">
        <v>1387711</v>
      </c>
    </row>
    <row r="14" spans="1:18" x14ac:dyDescent="0.2">
      <c r="A14" s="38" t="s">
        <v>8</v>
      </c>
      <c r="B14" s="2">
        <f t="shared" si="0"/>
        <v>88083</v>
      </c>
      <c r="C14" s="7"/>
      <c r="D14" s="7"/>
      <c r="E14" s="7"/>
      <c r="F14" s="7"/>
      <c r="G14" s="7"/>
      <c r="H14" s="6">
        <v>88083</v>
      </c>
    </row>
    <row r="15" spans="1:18" x14ac:dyDescent="0.2">
      <c r="A15" s="38" t="s">
        <v>18</v>
      </c>
      <c r="B15" s="2">
        <f t="shared" si="0"/>
        <v>114967</v>
      </c>
      <c r="C15" s="7">
        <v>114967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72365964</v>
      </c>
      <c r="C16" s="59">
        <f t="shared" ref="C16:H16" si="5">C17+C18+C19+C20</f>
        <v>2809359</v>
      </c>
      <c r="D16" s="59">
        <f t="shared" si="5"/>
        <v>12630240</v>
      </c>
      <c r="E16" s="59">
        <f t="shared" si="5"/>
        <v>5355974</v>
      </c>
      <c r="F16" s="59">
        <f t="shared" si="5"/>
        <v>42198980</v>
      </c>
      <c r="G16" s="59">
        <f t="shared" si="5"/>
        <v>59621</v>
      </c>
      <c r="H16" s="59">
        <f t="shared" si="5"/>
        <v>9311790</v>
      </c>
    </row>
    <row r="17" spans="1:9" x14ac:dyDescent="0.2">
      <c r="A17" s="38" t="s">
        <v>17</v>
      </c>
      <c r="B17" s="2">
        <f t="shared" si="0"/>
        <v>68750429</v>
      </c>
      <c r="C17" s="7"/>
      <c r="D17" s="7">
        <v>12630240</v>
      </c>
      <c r="E17" s="7">
        <v>5345177</v>
      </c>
      <c r="F17" s="7">
        <v>41769910</v>
      </c>
      <c r="G17" s="7">
        <v>59621</v>
      </c>
      <c r="H17" s="6">
        <f>8958508-13027</f>
        <v>8945481</v>
      </c>
    </row>
    <row r="18" spans="1:9" x14ac:dyDescent="0.2">
      <c r="A18" s="38" t="s">
        <v>7</v>
      </c>
      <c r="B18" s="25">
        <f t="shared" si="0"/>
        <v>761241</v>
      </c>
      <c r="C18" s="7"/>
      <c r="D18" s="7"/>
      <c r="E18" s="7">
        <v>10797</v>
      </c>
      <c r="F18" s="7">
        <v>408160</v>
      </c>
      <c r="G18" s="7"/>
      <c r="H18" s="6">
        <v>342284</v>
      </c>
    </row>
    <row r="19" spans="1:9" x14ac:dyDescent="0.2">
      <c r="A19" s="38" t="s">
        <v>8</v>
      </c>
      <c r="B19" s="2">
        <f t="shared" si="0"/>
        <v>44935</v>
      </c>
      <c r="C19" s="7"/>
      <c r="D19" s="7"/>
      <c r="E19" s="7"/>
      <c r="F19" s="7">
        <v>20910</v>
      </c>
      <c r="G19" s="7"/>
      <c r="H19" s="6">
        <v>24025</v>
      </c>
    </row>
    <row r="20" spans="1:9" ht="19.5" customHeight="1" x14ac:dyDescent="0.2">
      <c r="A20" s="38" t="s">
        <v>18</v>
      </c>
      <c r="B20" s="2">
        <f t="shared" si="0"/>
        <v>2809359</v>
      </c>
      <c r="C20" s="7">
        <v>2809359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111341251</v>
      </c>
      <c r="C21" s="9">
        <f>C6+C11+C16</f>
        <v>2949347</v>
      </c>
      <c r="D21" s="9">
        <f t="shared" ref="D21:H21" si="6">D6+D11+D16</f>
        <v>13272460</v>
      </c>
      <c r="E21" s="9">
        <f t="shared" si="6"/>
        <v>5896897</v>
      </c>
      <c r="F21" s="9">
        <f t="shared" si="6"/>
        <v>46506852</v>
      </c>
      <c r="G21" s="9">
        <f t="shared" si="6"/>
        <v>76381</v>
      </c>
      <c r="H21" s="9">
        <f t="shared" si="6"/>
        <v>42639314</v>
      </c>
      <c r="I21">
        <v>111354278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13027</v>
      </c>
    </row>
    <row r="23" spans="1:9" ht="14.25" customHeight="1" thickBot="1" x14ac:dyDescent="0.25">
      <c r="A23" s="40" t="s">
        <v>14</v>
      </c>
      <c r="B23" s="45">
        <v>6818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9" ht="24.75" customHeight="1" x14ac:dyDescent="0.2">
      <c r="A25" s="47" t="s">
        <v>28</v>
      </c>
      <c r="B25" s="50">
        <f>B27+B28+B29+B26</f>
        <v>10.971000000000002</v>
      </c>
      <c r="C25" s="26">
        <f>C26</f>
        <v>2.7909999999999999</v>
      </c>
      <c r="D25" s="26">
        <f t="shared" ref="D25:H25" si="7">D27+D28+D29+D26</f>
        <v>0.224</v>
      </c>
      <c r="E25" s="26">
        <f>E27+E28+E29+E26</f>
        <v>6.0000000000000001E-3</v>
      </c>
      <c r="F25" s="26">
        <f t="shared" si="7"/>
        <v>7.1800000000000006</v>
      </c>
      <c r="G25" s="26">
        <f t="shared" si="7"/>
        <v>8.0000000000000002E-3</v>
      </c>
      <c r="H25" s="27">
        <f t="shared" si="7"/>
        <v>0.76200000000000001</v>
      </c>
    </row>
    <row r="26" spans="1:9" x14ac:dyDescent="0.2">
      <c r="A26" s="48" t="s">
        <v>18</v>
      </c>
      <c r="B26" s="68">
        <f>SUM(C26:H26)</f>
        <v>2.7909999999999999</v>
      </c>
      <c r="C26" s="28">
        <v>2.7909999999999999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8.1550000000000011</v>
      </c>
      <c r="C27" s="28"/>
      <c r="D27" s="28">
        <v>0.224</v>
      </c>
      <c r="E27" s="28">
        <v>6.0000000000000001E-3</v>
      </c>
      <c r="F27" s="28">
        <v>7.1740000000000004</v>
      </c>
      <c r="G27" s="28">
        <v>8.0000000000000002E-3</v>
      </c>
      <c r="H27" s="29">
        <v>0.74299999999999999</v>
      </c>
    </row>
    <row r="28" spans="1:9" x14ac:dyDescent="0.2">
      <c r="A28" s="38" t="s">
        <v>7</v>
      </c>
      <c r="B28" s="51">
        <f t="shared" ref="B28:B29" si="8">SUM(C28:H28)</f>
        <v>2.5000000000000001E-2</v>
      </c>
      <c r="C28" s="30"/>
      <c r="D28" s="30"/>
      <c r="E28" s="30"/>
      <c r="F28" s="30">
        <v>6.0000000000000001E-3</v>
      </c>
      <c r="G28" s="30"/>
      <c r="H28" s="31">
        <v>1.9E-2</v>
      </c>
    </row>
    <row r="29" spans="1:9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SUM(B32:B36)</f>
        <v>22784675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62" t="s">
        <v>19</v>
      </c>
      <c r="B32" s="60">
        <f>20871495-32265</f>
        <v>20839230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62" t="s">
        <v>16</v>
      </c>
      <c r="B33" s="61">
        <v>369411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63" t="s">
        <v>24</v>
      </c>
      <c r="B34" s="61">
        <v>1406448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62" t="s">
        <v>20</v>
      </c>
      <c r="B35" s="61">
        <v>80491</v>
      </c>
      <c r="C35" s="3"/>
      <c r="D35" s="10"/>
      <c r="E35" s="10"/>
      <c r="F35" s="10"/>
      <c r="G35" s="10"/>
      <c r="H35" s="16"/>
    </row>
    <row r="36" spans="1:8" ht="13.5" customHeight="1" x14ac:dyDescent="0.2">
      <c r="A36" s="62" t="s">
        <v>22</v>
      </c>
      <c r="B36" s="61">
        <f>56830+32265</f>
        <v>89095</v>
      </c>
      <c r="C36" s="3"/>
      <c r="D36" s="10"/>
      <c r="E36" s="10"/>
      <c r="F36" s="10"/>
      <c r="G36" s="10"/>
      <c r="H36" s="16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/>
  <dimension ref="A1:AA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8" width="9.140625" hidden="1" customWidth="1"/>
    <col min="19" max="19" width="9.140625" customWidth="1"/>
    <col min="20" max="20" width="20.140625" hidden="1" customWidth="1"/>
    <col min="21" max="27" width="0" hidden="1" customWidth="1"/>
  </cols>
  <sheetData>
    <row r="1" spans="1:2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2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27" ht="24.75" customHeight="1" thickBot="1" x14ac:dyDescent="0.25">
      <c r="A3" s="381">
        <v>44136</v>
      </c>
      <c r="B3" s="381"/>
      <c r="C3" s="381"/>
      <c r="D3" s="381"/>
      <c r="E3" s="381"/>
      <c r="F3" s="381"/>
      <c r="G3" s="381"/>
      <c r="H3" s="381"/>
    </row>
    <row r="4" spans="1:2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2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27" ht="12.75" customHeight="1" x14ac:dyDescent="0.2">
      <c r="A6" s="37" t="s">
        <v>6</v>
      </c>
      <c r="B6" s="41">
        <f t="shared" ref="B6:B20" si="0">D6+E6+F6+G6+H6+C6</f>
        <v>6548750</v>
      </c>
      <c r="C6" s="83">
        <f>C7+C8+C9+C10</f>
        <v>15905</v>
      </c>
      <c r="D6" s="83">
        <f t="shared" ref="D6:F6" si="1">D7+D8+D9+D10</f>
        <v>74499</v>
      </c>
      <c r="E6" s="83">
        <f t="shared" si="1"/>
        <v>462716</v>
      </c>
      <c r="F6" s="83">
        <f t="shared" si="1"/>
        <v>2621224</v>
      </c>
      <c r="G6" s="83">
        <f>G7+G8+G9+G10</f>
        <v>0</v>
      </c>
      <c r="H6" s="83">
        <f>H7+H8+H9+H10</f>
        <v>3374406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27" x14ac:dyDescent="0.2">
      <c r="A7" s="38" t="s">
        <v>17</v>
      </c>
      <c r="B7" s="2">
        <f>D7+E7+F7+G7+H7+C7</f>
        <v>6419397</v>
      </c>
      <c r="C7" s="7"/>
      <c r="D7" s="7">
        <v>74499</v>
      </c>
      <c r="E7" s="7">
        <v>462716</v>
      </c>
      <c r="F7" s="7">
        <v>2618038</v>
      </c>
      <c r="G7" s="7"/>
      <c r="H7" s="7">
        <v>3264144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27" ht="15" x14ac:dyDescent="0.25">
      <c r="A8" s="38" t="s">
        <v>7</v>
      </c>
      <c r="B8" s="2">
        <f>D8+E8+F8+G8+H8+C8</f>
        <v>108019</v>
      </c>
      <c r="C8" s="7"/>
      <c r="D8" s="7"/>
      <c r="E8" s="7"/>
      <c r="F8" s="7">
        <v>3186</v>
      </c>
      <c r="G8" s="7"/>
      <c r="H8" s="7">
        <v>104833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27" ht="15" x14ac:dyDescent="0.25">
      <c r="A9" s="38" t="s">
        <v>8</v>
      </c>
      <c r="B9" s="2">
        <f>D9+E9+F9+G9+H9+C9</f>
        <v>5429</v>
      </c>
      <c r="C9" s="7"/>
      <c r="D9" s="7"/>
      <c r="E9" s="7"/>
      <c r="F9" s="7"/>
      <c r="G9" s="7"/>
      <c r="H9" s="7">
        <v>5429</v>
      </c>
      <c r="K9" s="74" t="s">
        <v>41</v>
      </c>
      <c r="L9" s="75"/>
      <c r="M9" s="75">
        <v>0</v>
      </c>
      <c r="N9" s="75">
        <v>9672.0000000000036</v>
      </c>
      <c r="O9" s="75">
        <v>3355</v>
      </c>
      <c r="P9" s="75"/>
      <c r="Q9" s="75"/>
      <c r="R9" s="76">
        <f>SUM(L9:Q9)</f>
        <v>13027.000000000004</v>
      </c>
      <c r="T9" s="69" t="s">
        <v>31</v>
      </c>
      <c r="U9" s="70"/>
      <c r="V9" s="70"/>
      <c r="W9" s="70"/>
      <c r="X9" s="70"/>
      <c r="Y9" s="70"/>
      <c r="Z9" s="70"/>
      <c r="AA9" s="71" t="s">
        <v>32</v>
      </c>
    </row>
    <row r="10" spans="1:27" ht="14.25" x14ac:dyDescent="0.2">
      <c r="A10" s="38" t="s">
        <v>18</v>
      </c>
      <c r="B10" s="2">
        <f t="shared" si="0"/>
        <v>15905</v>
      </c>
      <c r="C10" s="7">
        <v>15905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9672.0000000000036</v>
      </c>
      <c r="O10" s="77">
        <f t="shared" si="2"/>
        <v>3355</v>
      </c>
      <c r="P10" s="77">
        <f t="shared" si="2"/>
        <v>0</v>
      </c>
      <c r="Q10" s="77">
        <f t="shared" si="2"/>
        <v>0</v>
      </c>
      <c r="R10" s="77">
        <f>SUM(L10:Q10)</f>
        <v>13027.000000000004</v>
      </c>
      <c r="T10" s="72"/>
      <c r="U10" s="73" t="s">
        <v>33</v>
      </c>
      <c r="V10" s="73" t="s">
        <v>34</v>
      </c>
      <c r="W10" s="73" t="s">
        <v>35</v>
      </c>
      <c r="X10" s="73" t="s">
        <v>36</v>
      </c>
      <c r="Y10" s="73" t="s">
        <v>37</v>
      </c>
      <c r="Z10" s="73" t="s">
        <v>38</v>
      </c>
      <c r="AA10" s="73" t="s">
        <v>39</v>
      </c>
    </row>
    <row r="11" spans="1:27" ht="15" x14ac:dyDescent="0.25">
      <c r="A11" s="39" t="s">
        <v>9</v>
      </c>
      <c r="B11" s="67">
        <f>D11+E11+F11+G11+H11+C11</f>
        <v>34154461</v>
      </c>
      <c r="C11" s="59">
        <f>C12+C13+C14+C15</f>
        <v>152341</v>
      </c>
      <c r="D11" s="59">
        <f t="shared" ref="D11:G11" si="3">D12+D13+D14+D15</f>
        <v>597920</v>
      </c>
      <c r="E11" s="59">
        <f t="shared" si="3"/>
        <v>122387</v>
      </c>
      <c r="F11" s="59">
        <f t="shared" si="3"/>
        <v>2051772</v>
      </c>
      <c r="G11" s="59">
        <f t="shared" si="3"/>
        <v>18440</v>
      </c>
      <c r="H11" s="59">
        <f>H12+H13+H14+H15</f>
        <v>31211601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  <c r="T11" s="74" t="s">
        <v>40</v>
      </c>
      <c r="U11" s="75"/>
      <c r="V11" s="75">
        <v>0</v>
      </c>
      <c r="W11" s="75"/>
      <c r="X11" s="75"/>
      <c r="Y11" s="75"/>
      <c r="Z11" s="75"/>
      <c r="AA11" s="76">
        <f>SUM(U11:Z11)</f>
        <v>0</v>
      </c>
    </row>
    <row r="12" spans="1:27" ht="15.75" x14ac:dyDescent="0.25">
      <c r="A12" s="38" t="s">
        <v>17</v>
      </c>
      <c r="B12" s="2">
        <f>D12+E12+F12+G12+H12+C12</f>
        <v>32426316</v>
      </c>
      <c r="C12" s="7"/>
      <c r="D12" s="7">
        <v>597920</v>
      </c>
      <c r="E12" s="7">
        <v>122387</v>
      </c>
      <c r="F12" s="7">
        <v>2025103</v>
      </c>
      <c r="G12" s="7">
        <v>18440</v>
      </c>
      <c r="H12" s="6">
        <v>29662466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9672.0000000000036</v>
      </c>
      <c r="O12" s="81">
        <f t="shared" si="4"/>
        <v>3355</v>
      </c>
      <c r="P12" s="81">
        <f t="shared" si="4"/>
        <v>0</v>
      </c>
      <c r="Q12" s="81">
        <f t="shared" si="4"/>
        <v>0</v>
      </c>
      <c r="R12" s="82">
        <f>SUM(L12:Q12)</f>
        <v>13027.000000000004</v>
      </c>
      <c r="T12" s="74" t="s">
        <v>41</v>
      </c>
      <c r="U12" s="75"/>
      <c r="V12" s="75">
        <v>0</v>
      </c>
      <c r="W12" s="75">
        <v>11567.999999999984</v>
      </c>
      <c r="X12" s="75">
        <v>3074</v>
      </c>
      <c r="Y12" s="75"/>
      <c r="Z12" s="75"/>
      <c r="AA12" s="76">
        <f>SUM(U12:Z12)</f>
        <v>14641.999999999984</v>
      </c>
    </row>
    <row r="13" spans="1:27" ht="14.25" x14ac:dyDescent="0.2">
      <c r="A13" s="38" t="s">
        <v>7</v>
      </c>
      <c r="B13" s="25">
        <f t="shared" si="0"/>
        <v>1489537</v>
      </c>
      <c r="C13" s="7"/>
      <c r="D13" s="7"/>
      <c r="E13" s="7"/>
      <c r="F13" s="7">
        <v>26669</v>
      </c>
      <c r="G13" s="7"/>
      <c r="H13" s="6">
        <v>1462868</v>
      </c>
      <c r="T13" s="74" t="s">
        <v>1</v>
      </c>
      <c r="U13" s="77">
        <f t="shared" ref="U13:Z13" si="5">U11+U12</f>
        <v>0</v>
      </c>
      <c r="V13" s="77">
        <f t="shared" si="5"/>
        <v>0</v>
      </c>
      <c r="W13" s="77">
        <f t="shared" si="5"/>
        <v>11567.999999999984</v>
      </c>
      <c r="X13" s="77">
        <f t="shared" si="5"/>
        <v>3074</v>
      </c>
      <c r="Y13" s="77">
        <f t="shared" si="5"/>
        <v>0</v>
      </c>
      <c r="Z13" s="77">
        <f t="shared" si="5"/>
        <v>0</v>
      </c>
      <c r="AA13" s="77">
        <f>SUM(U13:Z13)</f>
        <v>14641.999999999984</v>
      </c>
    </row>
    <row r="14" spans="1:27" ht="15" x14ac:dyDescent="0.25">
      <c r="A14" s="38" t="s">
        <v>8</v>
      </c>
      <c r="B14" s="2">
        <f t="shared" si="0"/>
        <v>86267</v>
      </c>
      <c r="C14" s="7"/>
      <c r="D14" s="7"/>
      <c r="E14" s="7"/>
      <c r="F14" s="7"/>
      <c r="G14" s="7"/>
      <c r="H14" s="6">
        <v>86267</v>
      </c>
      <c r="T14" s="74"/>
      <c r="U14" s="78"/>
      <c r="V14" s="78"/>
      <c r="W14" s="78"/>
      <c r="X14" s="78"/>
      <c r="Y14" s="78"/>
      <c r="Z14" s="78"/>
      <c r="AA14" s="79">
        <f>SUM(V14:Z14)</f>
        <v>0</v>
      </c>
    </row>
    <row r="15" spans="1:27" ht="15.75" x14ac:dyDescent="0.25">
      <c r="A15" s="38" t="s">
        <v>18</v>
      </c>
      <c r="B15" s="2">
        <f t="shared" si="0"/>
        <v>152341</v>
      </c>
      <c r="C15" s="7">
        <v>152341</v>
      </c>
      <c r="D15" s="7"/>
      <c r="E15" s="7"/>
      <c r="F15" s="7"/>
      <c r="G15" s="7"/>
      <c r="H15" s="6"/>
      <c r="T15" s="80" t="s">
        <v>39</v>
      </c>
      <c r="U15" s="81">
        <f t="shared" ref="U15:Z15" si="6">U13+U14</f>
        <v>0</v>
      </c>
      <c r="V15" s="81">
        <f t="shared" si="6"/>
        <v>0</v>
      </c>
      <c r="W15" s="81">
        <f t="shared" si="6"/>
        <v>11567.999999999984</v>
      </c>
      <c r="X15" s="81">
        <f t="shared" si="6"/>
        <v>3074</v>
      </c>
      <c r="Y15" s="81">
        <f t="shared" si="6"/>
        <v>0</v>
      </c>
      <c r="Z15" s="81">
        <f t="shared" si="6"/>
        <v>0</v>
      </c>
      <c r="AA15" s="82">
        <f>SUM(U15:Z15)</f>
        <v>14641.999999999984</v>
      </c>
    </row>
    <row r="16" spans="1:27" x14ac:dyDescent="0.2">
      <c r="A16" s="39" t="s">
        <v>10</v>
      </c>
      <c r="B16" s="1">
        <f>D16+E16+F16+G16+H16+C16</f>
        <v>73677625</v>
      </c>
      <c r="C16" s="59">
        <f t="shared" ref="C16:H16" si="7">C17+C18+C19+C20</f>
        <v>3444470</v>
      </c>
      <c r="D16" s="59">
        <f t="shared" si="7"/>
        <v>13973453</v>
      </c>
      <c r="E16" s="59">
        <f t="shared" si="7"/>
        <v>4862556</v>
      </c>
      <c r="F16" s="59">
        <f t="shared" si="7"/>
        <v>42193154</v>
      </c>
      <c r="G16" s="59">
        <f t="shared" si="7"/>
        <v>54472</v>
      </c>
      <c r="H16" s="59">
        <f t="shared" si="7"/>
        <v>9149520</v>
      </c>
    </row>
    <row r="17" spans="1:9" x14ac:dyDescent="0.2">
      <c r="A17" s="38" t="s">
        <v>17</v>
      </c>
      <c r="B17" s="2">
        <f t="shared" si="0"/>
        <v>69411106</v>
      </c>
      <c r="C17" s="7"/>
      <c r="D17" s="7">
        <v>13973453</v>
      </c>
      <c r="E17" s="7">
        <v>4831979</v>
      </c>
      <c r="F17" s="7">
        <v>41873250</v>
      </c>
      <c r="G17" s="7">
        <v>54472</v>
      </c>
      <c r="H17" s="6">
        <f>8692594-14642</f>
        <v>8677952</v>
      </c>
    </row>
    <row r="18" spans="1:9" x14ac:dyDescent="0.2">
      <c r="A18" s="38" t="s">
        <v>7</v>
      </c>
      <c r="B18" s="25">
        <f t="shared" si="0"/>
        <v>772970</v>
      </c>
      <c r="C18" s="7"/>
      <c r="D18" s="7"/>
      <c r="E18" s="7">
        <v>30577</v>
      </c>
      <c r="F18" s="7">
        <v>297015</v>
      </c>
      <c r="G18" s="7"/>
      <c r="H18" s="6">
        <v>445378</v>
      </c>
    </row>
    <row r="19" spans="1:9" x14ac:dyDescent="0.2">
      <c r="A19" s="38" t="s">
        <v>8</v>
      </c>
      <c r="B19" s="2">
        <f t="shared" si="0"/>
        <v>49079</v>
      </c>
      <c r="C19" s="7"/>
      <c r="D19" s="7"/>
      <c r="E19" s="7"/>
      <c r="F19" s="7">
        <v>22889</v>
      </c>
      <c r="G19" s="7"/>
      <c r="H19" s="6">
        <v>26190</v>
      </c>
    </row>
    <row r="20" spans="1:9" ht="19.5" customHeight="1" x14ac:dyDescent="0.2">
      <c r="A20" s="38" t="s">
        <v>18</v>
      </c>
      <c r="B20" s="2">
        <f t="shared" si="0"/>
        <v>3444470</v>
      </c>
      <c r="C20" s="7">
        <v>3444470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114380836</v>
      </c>
      <c r="C21" s="9">
        <f>C6+C11+C16</f>
        <v>3612716</v>
      </c>
      <c r="D21" s="9">
        <f t="shared" ref="D21:H21" si="8">D6+D11+D16</f>
        <v>14645872</v>
      </c>
      <c r="E21" s="9">
        <f t="shared" si="8"/>
        <v>5447659</v>
      </c>
      <c r="F21" s="9">
        <f t="shared" si="8"/>
        <v>46866150</v>
      </c>
      <c r="G21" s="9">
        <f t="shared" si="8"/>
        <v>72912</v>
      </c>
      <c r="H21" s="9">
        <f t="shared" si="8"/>
        <v>43735527</v>
      </c>
      <c r="I21">
        <v>111354278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-3026558</v>
      </c>
    </row>
    <row r="23" spans="1:9" ht="14.25" customHeight="1" thickBot="1" x14ac:dyDescent="0.25">
      <c r="A23" s="40" t="s">
        <v>14</v>
      </c>
      <c r="B23" s="45">
        <v>9617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9" ht="24.75" customHeight="1" x14ac:dyDescent="0.2">
      <c r="A25" s="47" t="s">
        <v>28</v>
      </c>
      <c r="B25" s="50">
        <f>B27+B28+B29+B26</f>
        <v>10.599</v>
      </c>
      <c r="C25" s="26">
        <f>C26</f>
        <v>3.0030000000000001</v>
      </c>
      <c r="D25" s="26">
        <f t="shared" ref="D25:H25" si="9">D27+D28+D29+D26</f>
        <v>0.23</v>
      </c>
      <c r="E25" s="26">
        <f>E27+E28+E29+E26</f>
        <v>3.0000000000000001E-3</v>
      </c>
      <c r="F25" s="26">
        <f t="shared" si="9"/>
        <v>6.5860000000000003</v>
      </c>
      <c r="G25" s="26">
        <f t="shared" si="9"/>
        <v>8.0000000000000002E-3</v>
      </c>
      <c r="H25" s="27">
        <f t="shared" si="9"/>
        <v>0.76900000000000002</v>
      </c>
    </row>
    <row r="26" spans="1:9" x14ac:dyDescent="0.2">
      <c r="A26" s="48" t="s">
        <v>18</v>
      </c>
      <c r="B26" s="68">
        <f>SUM(C26:H26)</f>
        <v>3.0030000000000001</v>
      </c>
      <c r="C26" s="28">
        <v>3.0030000000000001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7.5830000000000002</v>
      </c>
      <c r="C27" s="28"/>
      <c r="D27" s="28">
        <v>0.23</v>
      </c>
      <c r="E27" s="28">
        <v>3.0000000000000001E-3</v>
      </c>
      <c r="F27" s="28">
        <v>6.5860000000000003</v>
      </c>
      <c r="G27" s="28">
        <v>8.0000000000000002E-3</v>
      </c>
      <c r="H27" s="29">
        <v>0.75600000000000001</v>
      </c>
    </row>
    <row r="28" spans="1:9" x14ac:dyDescent="0.2">
      <c r="A28" s="38" t="s">
        <v>7</v>
      </c>
      <c r="B28" s="51">
        <f t="shared" ref="B28:B29" si="10">SUM(C28:H28)</f>
        <v>1.2999999999999999E-2</v>
      </c>
      <c r="C28" s="30"/>
      <c r="D28" s="30"/>
      <c r="E28" s="30"/>
      <c r="F28" s="30"/>
      <c r="G28" s="30"/>
      <c r="H28" s="31">
        <v>1.2999999999999999E-2</v>
      </c>
    </row>
    <row r="29" spans="1:9" ht="13.5" customHeight="1" thickBot="1" x14ac:dyDescent="0.25">
      <c r="A29" s="49" t="s">
        <v>8</v>
      </c>
      <c r="B29" s="51">
        <f t="shared" si="10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29330102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85" t="s">
        <v>19</v>
      </c>
      <c r="B32" s="60">
        <f>27475142-265134</f>
        <v>27210008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375982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1536008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130811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77293</v>
      </c>
      <c r="C36" s="3"/>
      <c r="D36" s="10"/>
      <c r="E36" s="10"/>
      <c r="F36" s="10"/>
      <c r="G36" s="10"/>
      <c r="H36" s="10"/>
    </row>
    <row r="37" spans="1:8" hidden="1" x14ac:dyDescent="0.2">
      <c r="A37" s="84" t="s">
        <v>30</v>
      </c>
      <c r="B37" s="86">
        <f>-265134+265134</f>
        <v>0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S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9" width="9.140625" hidden="1" customWidth="1"/>
    <col min="20" max="23" width="0" hidden="1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44166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7551530</v>
      </c>
      <c r="C6" s="83">
        <f>C7+C8+C9+C10</f>
        <v>17295</v>
      </c>
      <c r="D6" s="83">
        <f t="shared" ref="D6:F6" si="1">D7+D8+D9+D10</f>
        <v>81158</v>
      </c>
      <c r="E6" s="83">
        <f t="shared" si="1"/>
        <v>494533</v>
      </c>
      <c r="F6" s="83">
        <f t="shared" si="1"/>
        <v>2851697</v>
      </c>
      <c r="G6" s="83">
        <f>G7+G8+G9+G10</f>
        <v>0</v>
      </c>
      <c r="H6" s="83">
        <f>H7+H8+H9+H10</f>
        <v>4106847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7411143</v>
      </c>
      <c r="C7" s="7"/>
      <c r="D7" s="7">
        <v>81158</v>
      </c>
      <c r="E7" s="7">
        <v>494533</v>
      </c>
      <c r="F7" s="7">
        <v>2848740</v>
      </c>
      <c r="G7" s="7"/>
      <c r="H7" s="7">
        <v>3986712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119351</v>
      </c>
      <c r="C8" s="7"/>
      <c r="D8" s="7"/>
      <c r="E8" s="7">
        <v>0</v>
      </c>
      <c r="F8" s="7">
        <v>2957</v>
      </c>
      <c r="G8" s="7"/>
      <c r="H8" s="7">
        <v>116394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3741</v>
      </c>
      <c r="C9" s="7"/>
      <c r="D9" s="7"/>
      <c r="E9" s="7">
        <v>0</v>
      </c>
      <c r="F9" s="7">
        <v>0</v>
      </c>
      <c r="G9" s="7"/>
      <c r="H9" s="7">
        <v>3741</v>
      </c>
      <c r="K9" s="74" t="s">
        <v>41</v>
      </c>
      <c r="L9" s="75"/>
      <c r="M9" s="75">
        <v>0</v>
      </c>
      <c r="N9" s="75">
        <v>11964</v>
      </c>
      <c r="O9" s="75">
        <v>3024</v>
      </c>
      <c r="P9" s="75"/>
      <c r="Q9" s="75"/>
      <c r="R9" s="76">
        <f>SUM(L9:Q9)</f>
        <v>14988</v>
      </c>
    </row>
    <row r="10" spans="1:18" ht="14.25" x14ac:dyDescent="0.2">
      <c r="A10" s="38" t="s">
        <v>18</v>
      </c>
      <c r="B10" s="2">
        <f t="shared" si="0"/>
        <v>17295</v>
      </c>
      <c r="C10" s="7">
        <v>17295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11964</v>
      </c>
      <c r="O10" s="77">
        <f t="shared" si="2"/>
        <v>3024</v>
      </c>
      <c r="P10" s="77">
        <f t="shared" si="2"/>
        <v>0</v>
      </c>
      <c r="Q10" s="77">
        <f t="shared" si="2"/>
        <v>0</v>
      </c>
      <c r="R10" s="77">
        <f>SUM(L10:Q10)</f>
        <v>14988</v>
      </c>
    </row>
    <row r="11" spans="1:18" ht="15" x14ac:dyDescent="0.25">
      <c r="A11" s="39" t="s">
        <v>9</v>
      </c>
      <c r="B11" s="67">
        <f>D11+E11+F11+G11+H11+C11</f>
        <v>39646619</v>
      </c>
      <c r="C11" s="59">
        <f>C12+C13+C14+C15</f>
        <v>167657</v>
      </c>
      <c r="D11" s="59">
        <f t="shared" ref="D11:G11" si="3">D12+D13+D14+D15</f>
        <v>602217</v>
      </c>
      <c r="E11" s="59">
        <f t="shared" si="3"/>
        <v>152421</v>
      </c>
      <c r="F11" s="59">
        <f t="shared" si="3"/>
        <v>2340795</v>
      </c>
      <c r="G11" s="59">
        <f t="shared" si="3"/>
        <v>20920</v>
      </c>
      <c r="H11" s="59">
        <f>H12+H13+H14+H15</f>
        <v>36362609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37840499</v>
      </c>
      <c r="C12" s="7"/>
      <c r="D12" s="7">
        <v>602217</v>
      </c>
      <c r="E12" s="7">
        <v>152421</v>
      </c>
      <c r="F12" s="7">
        <v>2316094</v>
      </c>
      <c r="G12" s="7">
        <v>20920</v>
      </c>
      <c r="H12" s="6">
        <v>34748847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11964</v>
      </c>
      <c r="O12" s="81">
        <f t="shared" si="4"/>
        <v>3024</v>
      </c>
      <c r="P12" s="81">
        <f t="shared" si="4"/>
        <v>0</v>
      </c>
      <c r="Q12" s="81">
        <f t="shared" si="4"/>
        <v>0</v>
      </c>
      <c r="R12" s="82">
        <f>SUM(L12:Q12)</f>
        <v>14988</v>
      </c>
    </row>
    <row r="13" spans="1:18" x14ac:dyDescent="0.2">
      <c r="A13" s="38" t="s">
        <v>7</v>
      </c>
      <c r="B13" s="25">
        <f t="shared" si="0"/>
        <v>1540989</v>
      </c>
      <c r="C13" s="7"/>
      <c r="D13" s="7">
        <v>0</v>
      </c>
      <c r="E13" s="7">
        <v>0</v>
      </c>
      <c r="F13" s="7">
        <v>24701</v>
      </c>
      <c r="G13" s="7">
        <v>0</v>
      </c>
      <c r="H13" s="6">
        <v>1516288</v>
      </c>
    </row>
    <row r="14" spans="1:18" x14ac:dyDescent="0.2">
      <c r="A14" s="38" t="s">
        <v>8</v>
      </c>
      <c r="B14" s="2">
        <f t="shared" si="0"/>
        <v>97474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97474</v>
      </c>
    </row>
    <row r="15" spans="1:18" x14ac:dyDescent="0.2">
      <c r="A15" s="38" t="s">
        <v>18</v>
      </c>
      <c r="B15" s="2">
        <f t="shared" si="0"/>
        <v>167657</v>
      </c>
      <c r="C15" s="7">
        <v>167657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79354191</v>
      </c>
      <c r="C16" s="59">
        <f t="shared" ref="C16:H16" si="5">C17+C18+C19+C20</f>
        <v>4172748</v>
      </c>
      <c r="D16" s="59">
        <f t="shared" si="5"/>
        <v>14477162</v>
      </c>
      <c r="E16" s="59">
        <f t="shared" si="5"/>
        <v>3325445</v>
      </c>
      <c r="F16" s="59">
        <f t="shared" si="5"/>
        <v>46649085</v>
      </c>
      <c r="G16" s="59">
        <f t="shared" si="5"/>
        <v>61410</v>
      </c>
      <c r="H16" s="59">
        <f t="shared" si="5"/>
        <v>10668341</v>
      </c>
    </row>
    <row r="17" spans="1:9" x14ac:dyDescent="0.2">
      <c r="A17" s="38" t="s">
        <v>17</v>
      </c>
      <c r="B17" s="2">
        <f t="shared" si="0"/>
        <v>74322512</v>
      </c>
      <c r="C17" s="7"/>
      <c r="D17" s="7">
        <v>14477162</v>
      </c>
      <c r="E17" s="7">
        <v>3312533</v>
      </c>
      <c r="F17" s="7">
        <v>46348824</v>
      </c>
      <c r="G17" s="7">
        <v>61410</v>
      </c>
      <c r="H17" s="6">
        <f>10137571-14988</f>
        <v>10122583</v>
      </c>
    </row>
    <row r="18" spans="1:9" x14ac:dyDescent="0.2">
      <c r="A18" s="38" t="s">
        <v>7</v>
      </c>
      <c r="B18" s="25">
        <f t="shared" si="0"/>
        <v>823917</v>
      </c>
      <c r="C18" s="7"/>
      <c r="D18" s="7">
        <v>0</v>
      </c>
      <c r="E18" s="7">
        <v>12912</v>
      </c>
      <c r="F18" s="7">
        <v>293887</v>
      </c>
      <c r="G18" s="7">
        <v>0</v>
      </c>
      <c r="H18" s="6">
        <v>517118</v>
      </c>
    </row>
    <row r="19" spans="1:9" x14ac:dyDescent="0.2">
      <c r="A19" s="38" t="s">
        <v>8</v>
      </c>
      <c r="B19" s="2">
        <f t="shared" si="0"/>
        <v>35014</v>
      </c>
      <c r="C19" s="7"/>
      <c r="D19" s="7">
        <v>0</v>
      </c>
      <c r="E19" s="7">
        <v>0</v>
      </c>
      <c r="F19" s="7">
        <v>6374</v>
      </c>
      <c r="G19" s="7">
        <v>0</v>
      </c>
      <c r="H19" s="6">
        <v>28640</v>
      </c>
    </row>
    <row r="20" spans="1:9" ht="19.5" customHeight="1" x14ac:dyDescent="0.2">
      <c r="A20" s="38" t="s">
        <v>18</v>
      </c>
      <c r="B20" s="2">
        <f t="shared" si="0"/>
        <v>4172748</v>
      </c>
      <c r="C20" s="7">
        <v>4172748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126552340</v>
      </c>
      <c r="C21" s="59">
        <f>C6+C11+C16</f>
        <v>4357700</v>
      </c>
      <c r="D21" s="59">
        <f t="shared" ref="D21:H21" si="6">D6+D11+D16</f>
        <v>15160537</v>
      </c>
      <c r="E21" s="59">
        <f t="shared" si="6"/>
        <v>3972399</v>
      </c>
      <c r="F21" s="59">
        <f t="shared" si="6"/>
        <v>51841577</v>
      </c>
      <c r="G21" s="59">
        <f t="shared" si="6"/>
        <v>82330</v>
      </c>
      <c r="H21" s="59">
        <f t="shared" si="6"/>
        <v>51137797</v>
      </c>
      <c r="I21">
        <v>126567328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14988</v>
      </c>
    </row>
    <row r="23" spans="1:9" ht="14.25" customHeight="1" thickBot="1" x14ac:dyDescent="0.25">
      <c r="A23" s="40" t="s">
        <v>14</v>
      </c>
      <c r="B23" s="45">
        <v>10684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9" ht="24.75" customHeight="1" x14ac:dyDescent="0.2">
      <c r="A25" s="47" t="s">
        <v>28</v>
      </c>
      <c r="B25" s="50">
        <f>B27+B28+B29+B26</f>
        <v>10.148999999999999</v>
      </c>
      <c r="C25" s="26">
        <f>C26</f>
        <v>3.2290000000000001</v>
      </c>
      <c r="D25" s="26">
        <f t="shared" ref="D25:H25" si="7">D27+D28+D29+D26</f>
        <v>0.247</v>
      </c>
      <c r="E25" s="26">
        <f>E27+E28+E29+E26</f>
        <v>3.0000000000000001E-3</v>
      </c>
      <c r="F25" s="26">
        <f t="shared" si="7"/>
        <v>5.8739999999999997</v>
      </c>
      <c r="G25" s="26">
        <f t="shared" si="7"/>
        <v>0.01</v>
      </c>
      <c r="H25" s="27">
        <f t="shared" si="7"/>
        <v>0.78600000000000003</v>
      </c>
    </row>
    <row r="26" spans="1:9" x14ac:dyDescent="0.2">
      <c r="A26" s="48" t="s">
        <v>18</v>
      </c>
      <c r="B26" s="68">
        <f>SUM(C26:H26)</f>
        <v>3.2290000000000001</v>
      </c>
      <c r="C26" s="28">
        <v>3.2290000000000001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6.9079999999999995</v>
      </c>
      <c r="C27" s="28"/>
      <c r="D27" s="28">
        <v>0.247</v>
      </c>
      <c r="E27" s="28">
        <v>3.0000000000000001E-3</v>
      </c>
      <c r="F27" s="28">
        <v>5.8739999999999997</v>
      </c>
      <c r="G27" s="28">
        <v>0.01</v>
      </c>
      <c r="H27" s="29">
        <v>0.77400000000000002</v>
      </c>
    </row>
    <row r="28" spans="1:9" x14ac:dyDescent="0.2">
      <c r="A28" s="38" t="s">
        <v>7</v>
      </c>
      <c r="B28" s="51">
        <f t="shared" ref="B28:B29" si="8">SUM(C28:H28)</f>
        <v>1.2E-2</v>
      </c>
      <c r="C28" s="30"/>
      <c r="D28" s="30"/>
      <c r="E28" s="30"/>
      <c r="F28" s="30"/>
      <c r="G28" s="30"/>
      <c r="H28" s="31">
        <v>1.2E-2</v>
      </c>
    </row>
    <row r="29" spans="1:9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33029345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85" t="s">
        <v>19</v>
      </c>
      <c r="B32" s="60">
        <v>30736404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398582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1622028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151825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120506</v>
      </c>
      <c r="C36" s="3"/>
      <c r="D36" s="10"/>
      <c r="E36" s="10"/>
      <c r="F36" s="10"/>
      <c r="G36" s="10"/>
      <c r="H36" s="10"/>
    </row>
    <row r="37" spans="1:8" hidden="1" x14ac:dyDescent="0.2">
      <c r="A37" s="84" t="s">
        <v>30</v>
      </c>
      <c r="B37" s="86">
        <f>-265134+265134</f>
        <v>0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customWidth="1"/>
    <col min="11" max="11" width="11.42578125" customWidth="1"/>
    <col min="12" max="17" width="9.140625" customWidth="1"/>
  </cols>
  <sheetData>
    <row r="1" spans="1:1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7" ht="24.75" customHeight="1" thickBot="1" x14ac:dyDescent="0.25">
      <c r="A3" s="381">
        <v>44197</v>
      </c>
      <c r="B3" s="381"/>
      <c r="C3" s="381"/>
      <c r="D3" s="381"/>
      <c r="E3" s="381"/>
      <c r="F3" s="381"/>
      <c r="G3" s="381"/>
      <c r="H3" s="381"/>
    </row>
    <row r="4" spans="1:1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7432188</v>
      </c>
      <c r="C6" s="83">
        <f>C7+C8+C9+C10</f>
        <v>20572</v>
      </c>
      <c r="D6" s="83">
        <f t="shared" ref="D6:F6" si="1">D7+D8+D9+D10</f>
        <v>77614</v>
      </c>
      <c r="E6" s="83">
        <f t="shared" si="1"/>
        <v>493842</v>
      </c>
      <c r="F6" s="83">
        <f t="shared" si="1"/>
        <v>2741212</v>
      </c>
      <c r="G6" s="83">
        <f>G7+G8+G9+G10</f>
        <v>0</v>
      </c>
      <c r="H6" s="83">
        <f>H7+H8+H9+H10</f>
        <v>4098948</v>
      </c>
    </row>
    <row r="7" spans="1:17" x14ac:dyDescent="0.2">
      <c r="A7" s="38" t="s">
        <v>17</v>
      </c>
      <c r="B7" s="2">
        <f>D7+E7+F7+G7+H7+C7</f>
        <v>7294836</v>
      </c>
      <c r="C7" s="60"/>
      <c r="D7" s="60">
        <v>77614</v>
      </c>
      <c r="E7" s="60">
        <v>493842</v>
      </c>
      <c r="F7" s="60">
        <v>2737535</v>
      </c>
      <c r="G7" s="60"/>
      <c r="H7" s="60">
        <v>3985845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112439</v>
      </c>
      <c r="C8" s="60"/>
      <c r="D8" s="60"/>
      <c r="E8" s="60">
        <v>0</v>
      </c>
      <c r="F8" s="60">
        <v>3677</v>
      </c>
      <c r="G8" s="60"/>
      <c r="H8" s="60">
        <v>108762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4341</v>
      </c>
      <c r="C9" s="60"/>
      <c r="D9" s="60"/>
      <c r="E9" s="60">
        <v>0</v>
      </c>
      <c r="F9" s="60">
        <v>0</v>
      </c>
      <c r="G9" s="60"/>
      <c r="H9" s="60">
        <v>4341</v>
      </c>
      <c r="J9" s="74" t="s">
        <v>41</v>
      </c>
      <c r="K9" s="75"/>
      <c r="L9" s="75">
        <v>0</v>
      </c>
      <c r="M9" s="75">
        <v>10296.000000000049</v>
      </c>
      <c r="N9" s="75">
        <v>3209</v>
      </c>
      <c r="O9" s="75"/>
      <c r="P9" s="75"/>
      <c r="Q9" s="76">
        <f>SUM(K9:P9)</f>
        <v>13505.000000000049</v>
      </c>
    </row>
    <row r="10" spans="1:17" ht="14.25" x14ac:dyDescent="0.2">
      <c r="A10" s="38" t="s">
        <v>18</v>
      </c>
      <c r="B10" s="2">
        <f t="shared" si="0"/>
        <v>20572</v>
      </c>
      <c r="C10" s="60">
        <v>20572</v>
      </c>
      <c r="D10" s="60"/>
      <c r="E10" s="60"/>
      <c r="F10" s="60"/>
      <c r="G10" s="60"/>
      <c r="H10" s="60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10296.000000000049</v>
      </c>
      <c r="N10" s="77">
        <f t="shared" si="2"/>
        <v>3209</v>
      </c>
      <c r="O10" s="77">
        <f t="shared" si="2"/>
        <v>0</v>
      </c>
      <c r="P10" s="77">
        <f t="shared" si="2"/>
        <v>0</v>
      </c>
      <c r="Q10" s="77">
        <f>SUM(K10:P10)</f>
        <v>13505.000000000049</v>
      </c>
    </row>
    <row r="11" spans="1:17" ht="15" x14ac:dyDescent="0.25">
      <c r="A11" s="39" t="s">
        <v>9</v>
      </c>
      <c r="B11" s="67">
        <f>D11+E11+F11+G11+H11+C11</f>
        <v>40159666</v>
      </c>
      <c r="C11" s="59">
        <f>C12+C13+C14+C15</f>
        <v>161548</v>
      </c>
      <c r="D11" s="59">
        <f t="shared" ref="D11:G11" si="3">D12+D13+D14+D15</f>
        <v>594049</v>
      </c>
      <c r="E11" s="59">
        <f t="shared" si="3"/>
        <v>102409</v>
      </c>
      <c r="F11" s="59">
        <f t="shared" si="3"/>
        <v>2387010</v>
      </c>
      <c r="G11" s="59">
        <f t="shared" si="3"/>
        <v>18640</v>
      </c>
      <c r="H11" s="59">
        <f>H12+H13+H14+H15</f>
        <v>36896010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38306003</v>
      </c>
      <c r="C12" s="60"/>
      <c r="D12" s="60">
        <v>594049</v>
      </c>
      <c r="E12" s="60">
        <v>102409</v>
      </c>
      <c r="F12" s="60">
        <v>2367661</v>
      </c>
      <c r="G12" s="60">
        <v>18640</v>
      </c>
      <c r="H12" s="88">
        <v>35223244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10296.000000000049</v>
      </c>
      <c r="N12" s="81">
        <f t="shared" si="4"/>
        <v>3209</v>
      </c>
      <c r="O12" s="81">
        <f t="shared" si="4"/>
        <v>0</v>
      </c>
      <c r="P12" s="81">
        <f t="shared" si="4"/>
        <v>0</v>
      </c>
      <c r="Q12" s="82">
        <f>SUM(K12:P12)</f>
        <v>13505.000000000049</v>
      </c>
    </row>
    <row r="13" spans="1:17" x14ac:dyDescent="0.2">
      <c r="A13" s="38" t="s">
        <v>7</v>
      </c>
      <c r="B13" s="25">
        <f t="shared" si="0"/>
        <v>1594940</v>
      </c>
      <c r="C13" s="60"/>
      <c r="D13" s="60">
        <v>0</v>
      </c>
      <c r="E13" s="60">
        <v>0</v>
      </c>
      <c r="F13" s="60">
        <v>19349</v>
      </c>
      <c r="G13" s="60">
        <v>0</v>
      </c>
      <c r="H13" s="88">
        <v>1575591</v>
      </c>
    </row>
    <row r="14" spans="1:17" x14ac:dyDescent="0.2">
      <c r="A14" s="38" t="s">
        <v>8</v>
      </c>
      <c r="B14" s="2">
        <f t="shared" si="0"/>
        <v>97175</v>
      </c>
      <c r="C14" s="60"/>
      <c r="D14" s="60">
        <v>0</v>
      </c>
      <c r="E14" s="60">
        <v>0</v>
      </c>
      <c r="F14" s="60">
        <v>0</v>
      </c>
      <c r="G14" s="60">
        <v>0</v>
      </c>
      <c r="H14" s="88">
        <v>97175</v>
      </c>
    </row>
    <row r="15" spans="1:17" x14ac:dyDescent="0.2">
      <c r="A15" s="38" t="s">
        <v>18</v>
      </c>
      <c r="B15" s="2">
        <f t="shared" si="0"/>
        <v>161548</v>
      </c>
      <c r="C15" s="60">
        <v>161548</v>
      </c>
      <c r="D15" s="60"/>
      <c r="E15" s="60"/>
      <c r="F15" s="60"/>
      <c r="G15" s="60"/>
      <c r="H15" s="88"/>
    </row>
    <row r="16" spans="1:17" x14ac:dyDescent="0.2">
      <c r="A16" s="39" t="s">
        <v>10</v>
      </c>
      <c r="B16" s="1">
        <f>D16+E16+F16+G16+H16+C16</f>
        <v>72697961</v>
      </c>
      <c r="C16" s="59">
        <f t="shared" ref="C16:H16" si="5">C17+C18+C19+C20</f>
        <v>4045943</v>
      </c>
      <c r="D16" s="59">
        <f t="shared" si="5"/>
        <v>13200417</v>
      </c>
      <c r="E16" s="59">
        <f t="shared" si="5"/>
        <v>2953930</v>
      </c>
      <c r="F16" s="59">
        <f t="shared" si="5"/>
        <v>41878233</v>
      </c>
      <c r="G16" s="59">
        <f t="shared" si="5"/>
        <v>59349</v>
      </c>
      <c r="H16" s="59">
        <f t="shared" si="5"/>
        <v>10560089</v>
      </c>
    </row>
    <row r="17" spans="1:11" x14ac:dyDescent="0.2">
      <c r="A17" s="38" t="s">
        <v>17</v>
      </c>
      <c r="B17" s="2">
        <f t="shared" si="0"/>
        <v>67849542</v>
      </c>
      <c r="C17" s="60"/>
      <c r="D17" s="60">
        <v>13200417</v>
      </c>
      <c r="E17" s="60">
        <v>2943479</v>
      </c>
      <c r="F17" s="60">
        <v>41588648</v>
      </c>
      <c r="G17" s="60">
        <v>59349</v>
      </c>
      <c r="H17" s="88">
        <f>10071154-13505</f>
        <v>10057649</v>
      </c>
    </row>
    <row r="18" spans="1:11" x14ac:dyDescent="0.2">
      <c r="A18" s="38" t="s">
        <v>7</v>
      </c>
      <c r="B18" s="25">
        <f t="shared" si="0"/>
        <v>755712</v>
      </c>
      <c r="C18" s="60"/>
      <c r="D18" s="60">
        <v>0</v>
      </c>
      <c r="E18" s="60">
        <v>10451</v>
      </c>
      <c r="F18" s="60">
        <v>267826</v>
      </c>
      <c r="G18" s="60">
        <v>0</v>
      </c>
      <c r="H18" s="88">
        <v>477435</v>
      </c>
    </row>
    <row r="19" spans="1:11" x14ac:dyDescent="0.2">
      <c r="A19" s="38" t="s">
        <v>8</v>
      </c>
      <c r="B19" s="2">
        <f t="shared" si="0"/>
        <v>46764</v>
      </c>
      <c r="C19" s="60"/>
      <c r="D19" s="60">
        <v>0</v>
      </c>
      <c r="E19" s="60">
        <v>0</v>
      </c>
      <c r="F19" s="60">
        <v>21759</v>
      </c>
      <c r="G19" s="60">
        <v>0</v>
      </c>
      <c r="H19" s="88">
        <v>25005</v>
      </c>
    </row>
    <row r="20" spans="1:11" ht="19.5" customHeight="1" x14ac:dyDescent="0.2">
      <c r="A20" s="38" t="s">
        <v>18</v>
      </c>
      <c r="B20" s="2">
        <f t="shared" si="0"/>
        <v>4045943</v>
      </c>
      <c r="C20" s="7">
        <v>4045943</v>
      </c>
      <c r="D20" s="7"/>
      <c r="E20" s="7"/>
      <c r="F20" s="7"/>
      <c r="G20" s="7"/>
      <c r="H20" s="6"/>
    </row>
    <row r="21" spans="1:11" ht="15.75" customHeight="1" x14ac:dyDescent="0.2">
      <c r="A21" s="39" t="s">
        <v>11</v>
      </c>
      <c r="B21" s="44">
        <f>D21+E21+F21+G21+H21+C21</f>
        <v>120289815</v>
      </c>
      <c r="C21" s="59">
        <f>C6+C11+C16</f>
        <v>4228063</v>
      </c>
      <c r="D21" s="59">
        <f t="shared" ref="D21:H21" si="6">D6+D11+D16</f>
        <v>13872080</v>
      </c>
      <c r="E21" s="59">
        <f t="shared" si="6"/>
        <v>3550181</v>
      </c>
      <c r="F21" s="59">
        <f t="shared" si="6"/>
        <v>47006455</v>
      </c>
      <c r="G21" s="59">
        <f t="shared" si="6"/>
        <v>77989</v>
      </c>
      <c r="H21" s="59">
        <f t="shared" si="6"/>
        <v>51555047</v>
      </c>
      <c r="J21">
        <v>120303320</v>
      </c>
      <c r="K21">
        <f>J21-J22</f>
        <v>120289815</v>
      </c>
    </row>
    <row r="22" spans="1:11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>
        <v>13505.000000000049</v>
      </c>
    </row>
    <row r="23" spans="1:11" ht="14.25" customHeight="1" thickBot="1" x14ac:dyDescent="0.25">
      <c r="A23" s="40" t="s">
        <v>14</v>
      </c>
      <c r="B23" s="45">
        <v>12757</v>
      </c>
      <c r="C23" s="17"/>
      <c r="D23" s="18"/>
      <c r="E23" s="18"/>
      <c r="F23" s="18"/>
      <c r="G23" s="18"/>
      <c r="H23" s="19"/>
    </row>
    <row r="24" spans="1:11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11" ht="24.75" customHeight="1" x14ac:dyDescent="0.2">
      <c r="A25" s="47" t="s">
        <v>28</v>
      </c>
      <c r="B25" s="50">
        <f>B27+B28+B29+B26</f>
        <v>10.343</v>
      </c>
      <c r="C25" s="26">
        <f>C26</f>
        <v>3.266</v>
      </c>
      <c r="D25" s="26">
        <f t="shared" ref="D25:H25" si="7">D27+D28+D29+D26</f>
        <v>0.2</v>
      </c>
      <c r="E25" s="26">
        <f>E27+E28+E29+E26</f>
        <v>3.0000000000000001E-3</v>
      </c>
      <c r="F25" s="26">
        <f t="shared" si="7"/>
        <v>6.0839999999999996</v>
      </c>
      <c r="G25" s="26">
        <f t="shared" si="7"/>
        <v>1.4E-2</v>
      </c>
      <c r="H25" s="27">
        <f t="shared" si="7"/>
        <v>0.77600000000000002</v>
      </c>
    </row>
    <row r="26" spans="1:11" x14ac:dyDescent="0.2">
      <c r="A26" s="48" t="s">
        <v>18</v>
      </c>
      <c r="B26" s="68">
        <f>SUM(C26:H26)</f>
        <v>3.266</v>
      </c>
      <c r="C26" s="28">
        <v>3.266</v>
      </c>
      <c r="D26" s="28"/>
      <c r="E26" s="28"/>
      <c r="F26" s="28"/>
      <c r="G26" s="28"/>
      <c r="H26" s="29"/>
    </row>
    <row r="27" spans="1:11" ht="13.5" customHeight="1" x14ac:dyDescent="0.2">
      <c r="A27" s="38" t="s">
        <v>17</v>
      </c>
      <c r="B27" s="68">
        <f>SUM(C27:H27)</f>
        <v>7.0440000000000005</v>
      </c>
      <c r="C27" s="28"/>
      <c r="D27" s="30">
        <v>0.2</v>
      </c>
      <c r="E27" s="30">
        <v>3.0000000000000001E-3</v>
      </c>
      <c r="F27" s="30">
        <v>6.0629999999999997</v>
      </c>
      <c r="G27" s="30">
        <v>1.4E-2</v>
      </c>
      <c r="H27" s="31">
        <v>0.76400000000000001</v>
      </c>
    </row>
    <row r="28" spans="1:11" x14ac:dyDescent="0.2">
      <c r="A28" s="38" t="s">
        <v>7</v>
      </c>
      <c r="B28" s="51">
        <f t="shared" ref="B28:B29" si="8">SUM(C28:H28)</f>
        <v>3.3000000000000002E-2</v>
      </c>
      <c r="C28" s="30"/>
      <c r="D28" s="30"/>
      <c r="E28" s="30"/>
      <c r="F28" s="30">
        <v>2.1000000000000001E-2</v>
      </c>
      <c r="G28" s="30"/>
      <c r="H28" s="31">
        <v>1.2E-2</v>
      </c>
    </row>
    <row r="29" spans="1:11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1" ht="13.5" customHeight="1" thickBot="1" x14ac:dyDescent="0.25">
      <c r="B30" s="11"/>
      <c r="D30" s="12"/>
    </row>
    <row r="31" spans="1:11" ht="51.75" customHeight="1" x14ac:dyDescent="0.2">
      <c r="A31" s="66" t="s">
        <v>29</v>
      </c>
      <c r="B31" s="13">
        <f>SUM(B32:B37)</f>
        <v>31517937</v>
      </c>
      <c r="C31" s="13"/>
      <c r="D31" s="14"/>
      <c r="E31" s="14"/>
      <c r="F31" s="14"/>
      <c r="G31" s="14"/>
      <c r="H31" s="15"/>
    </row>
    <row r="32" spans="1:11" ht="13.5" customHeight="1" x14ac:dyDescent="0.2">
      <c r="A32" s="85" t="s">
        <v>19</v>
      </c>
      <c r="B32" s="60">
        <v>29230519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397226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1466317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210116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140764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72995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0EDC-AE20-4E5A-B7A7-CD45F706104A}">
  <sheetPr codeName="Лист14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customWidth="1"/>
    <col min="11" max="11" width="11.42578125" customWidth="1"/>
    <col min="12" max="16" width="9.140625" customWidth="1"/>
    <col min="17" max="17" width="12.7109375" customWidth="1"/>
  </cols>
  <sheetData>
    <row r="1" spans="1:1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7" ht="24.75" customHeight="1" thickBot="1" x14ac:dyDescent="0.25">
      <c r="A3" s="381">
        <v>44228</v>
      </c>
      <c r="B3" s="381"/>
      <c r="C3" s="381"/>
      <c r="D3" s="381"/>
      <c r="E3" s="381"/>
      <c r="F3" s="381"/>
      <c r="G3" s="381"/>
      <c r="H3" s="381"/>
    </row>
    <row r="4" spans="1:1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7180876</v>
      </c>
      <c r="C6" s="83">
        <f>C7+C8+C9+C10</f>
        <v>21851</v>
      </c>
      <c r="D6" s="83">
        <f t="shared" ref="D6:F6" si="1">D7+D8+D9+D10</f>
        <v>70843</v>
      </c>
      <c r="E6" s="83">
        <f t="shared" si="1"/>
        <v>476358</v>
      </c>
      <c r="F6" s="83">
        <f t="shared" si="1"/>
        <v>2676585</v>
      </c>
      <c r="G6" s="83">
        <f>G7+G8+G9+G10</f>
        <v>0</v>
      </c>
      <c r="H6" s="90">
        <f>H7+H8+H9+H10</f>
        <v>3935239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7036484</v>
      </c>
      <c r="C7" s="7"/>
      <c r="D7" s="7">
        <v>70843</v>
      </c>
      <c r="E7" s="7">
        <v>476358</v>
      </c>
      <c r="F7" s="7">
        <v>2672933</v>
      </c>
      <c r="G7" s="7"/>
      <c r="H7" s="6">
        <v>3816350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118204</v>
      </c>
      <c r="C8" s="7"/>
      <c r="D8" s="7"/>
      <c r="E8" s="7">
        <v>0</v>
      </c>
      <c r="F8" s="7">
        <v>3652</v>
      </c>
      <c r="G8" s="7"/>
      <c r="H8" s="6">
        <v>114552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4337</v>
      </c>
      <c r="C9" s="7"/>
      <c r="D9" s="7"/>
      <c r="E9" s="7">
        <v>0</v>
      </c>
      <c r="F9" s="7">
        <v>0</v>
      </c>
      <c r="G9" s="7"/>
      <c r="H9" s="6">
        <v>4337</v>
      </c>
      <c r="J9" s="93" t="s">
        <v>41</v>
      </c>
      <c r="K9" s="75"/>
      <c r="L9" s="75">
        <v>0</v>
      </c>
      <c r="M9" s="75">
        <v>10368</v>
      </c>
      <c r="N9" s="75">
        <v>2530</v>
      </c>
      <c r="O9" s="75"/>
      <c r="P9" s="75"/>
      <c r="Q9" s="76">
        <f>SUM(K9:P9)</f>
        <v>12898</v>
      </c>
    </row>
    <row r="10" spans="1:17" ht="14.25" x14ac:dyDescent="0.2">
      <c r="A10" s="38" t="s">
        <v>18</v>
      </c>
      <c r="B10" s="2">
        <f t="shared" si="0"/>
        <v>21851</v>
      </c>
      <c r="C10" s="7">
        <v>21851</v>
      </c>
      <c r="D10" s="7"/>
      <c r="E10" s="7"/>
      <c r="F10" s="7"/>
      <c r="G10" s="7"/>
      <c r="H10" s="6"/>
      <c r="J10" s="93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10368</v>
      </c>
      <c r="N10" s="77">
        <f t="shared" si="2"/>
        <v>2530</v>
      </c>
      <c r="O10" s="77">
        <f t="shared" si="2"/>
        <v>0</v>
      </c>
      <c r="P10" s="77">
        <f t="shared" si="2"/>
        <v>0</v>
      </c>
      <c r="Q10" s="77">
        <f>SUM(K10:P10)</f>
        <v>12898</v>
      </c>
    </row>
    <row r="11" spans="1:17" ht="15" x14ac:dyDescent="0.25">
      <c r="A11" s="39" t="s">
        <v>9</v>
      </c>
      <c r="B11" s="67">
        <f>D11+E11+F11+G11+H11+C11</f>
        <v>38693612</v>
      </c>
      <c r="C11" s="59">
        <f>C12+C13+C14+C15</f>
        <v>172635</v>
      </c>
      <c r="D11" s="59">
        <f t="shared" ref="D11:G11" si="3">D12+D13+D14+D15</f>
        <v>613775</v>
      </c>
      <c r="E11" s="59">
        <f t="shared" si="3"/>
        <v>122586</v>
      </c>
      <c r="F11" s="59">
        <f t="shared" si="3"/>
        <v>2275854</v>
      </c>
      <c r="G11" s="59">
        <f t="shared" si="3"/>
        <v>21560</v>
      </c>
      <c r="H11" s="35">
        <f>H12+H13+H14+H15</f>
        <v>35487202</v>
      </c>
      <c r="J11" s="93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36862452</v>
      </c>
      <c r="C12" s="7"/>
      <c r="D12" s="7">
        <v>613775</v>
      </c>
      <c r="E12" s="7">
        <v>122586</v>
      </c>
      <c r="F12" s="7">
        <v>2253989</v>
      </c>
      <c r="G12" s="7">
        <v>21560</v>
      </c>
      <c r="H12" s="6">
        <v>33850542</v>
      </c>
      <c r="J12" s="94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10368</v>
      </c>
      <c r="N12" s="81">
        <f t="shared" si="4"/>
        <v>2530</v>
      </c>
      <c r="O12" s="81">
        <f t="shared" si="4"/>
        <v>0</v>
      </c>
      <c r="P12" s="81">
        <f t="shared" si="4"/>
        <v>0</v>
      </c>
      <c r="Q12" s="82">
        <f>SUM(K12:P12)</f>
        <v>12898</v>
      </c>
    </row>
    <row r="13" spans="1:17" x14ac:dyDescent="0.2">
      <c r="A13" s="38" t="s">
        <v>7</v>
      </c>
      <c r="B13" s="25">
        <f t="shared" si="0"/>
        <v>1556497</v>
      </c>
      <c r="C13" s="7"/>
      <c r="D13" s="7">
        <v>0</v>
      </c>
      <c r="E13" s="7">
        <v>0</v>
      </c>
      <c r="F13" s="7">
        <v>21865</v>
      </c>
      <c r="G13" s="7">
        <v>0</v>
      </c>
      <c r="H13" s="6">
        <v>1534632</v>
      </c>
      <c r="Q13">
        <v>118922310</v>
      </c>
    </row>
    <row r="14" spans="1:17" x14ac:dyDescent="0.2">
      <c r="A14" s="38" t="s">
        <v>8</v>
      </c>
      <c r="B14" s="2">
        <f t="shared" si="0"/>
        <v>102028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102028</v>
      </c>
      <c r="Q14" s="32">
        <f>Q12+Q13</f>
        <v>118935208</v>
      </c>
    </row>
    <row r="15" spans="1:17" x14ac:dyDescent="0.2">
      <c r="A15" s="38" t="s">
        <v>18</v>
      </c>
      <c r="B15" s="2">
        <f t="shared" si="0"/>
        <v>172635</v>
      </c>
      <c r="C15" s="7">
        <v>172635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73047822</v>
      </c>
      <c r="C16" s="59">
        <f t="shared" ref="C16:H16" si="5">C17+C18+C19+C20</f>
        <v>3741775</v>
      </c>
      <c r="D16" s="59">
        <f t="shared" si="5"/>
        <v>13412229</v>
      </c>
      <c r="E16" s="59">
        <f t="shared" si="5"/>
        <v>2618873</v>
      </c>
      <c r="F16" s="59">
        <f t="shared" si="5"/>
        <v>42445148</v>
      </c>
      <c r="G16" s="59">
        <f t="shared" si="5"/>
        <v>57568</v>
      </c>
      <c r="H16" s="35">
        <f t="shared" si="5"/>
        <v>10772229</v>
      </c>
    </row>
    <row r="17" spans="1:10" x14ac:dyDescent="0.2">
      <c r="A17" s="38" t="s">
        <v>17</v>
      </c>
      <c r="B17" s="2">
        <f t="shared" si="0"/>
        <v>68412824</v>
      </c>
      <c r="C17" s="7"/>
      <c r="D17" s="7">
        <v>13412229</v>
      </c>
      <c r="E17" s="7">
        <v>2607505</v>
      </c>
      <c r="F17" s="7">
        <v>42115697</v>
      </c>
      <c r="G17" s="7">
        <v>57568</v>
      </c>
      <c r="H17" s="6">
        <f>10232723-12898</f>
        <v>10219825</v>
      </c>
    </row>
    <row r="18" spans="1:10" x14ac:dyDescent="0.2">
      <c r="A18" s="38" t="s">
        <v>7</v>
      </c>
      <c r="B18" s="25">
        <f t="shared" si="0"/>
        <v>844818</v>
      </c>
      <c r="C18" s="7"/>
      <c r="D18" s="7">
        <v>0</v>
      </c>
      <c r="E18" s="7">
        <v>11368</v>
      </c>
      <c r="F18" s="7">
        <v>308226</v>
      </c>
      <c r="G18" s="7">
        <v>0</v>
      </c>
      <c r="H18" s="6">
        <v>525224</v>
      </c>
    </row>
    <row r="19" spans="1:10" x14ac:dyDescent="0.2">
      <c r="A19" s="38" t="s">
        <v>8</v>
      </c>
      <c r="B19" s="2">
        <f t="shared" si="0"/>
        <v>48405</v>
      </c>
      <c r="C19" s="7"/>
      <c r="D19" s="7">
        <v>0</v>
      </c>
      <c r="E19" s="7">
        <v>0</v>
      </c>
      <c r="F19" s="7">
        <v>21225</v>
      </c>
      <c r="G19" s="7">
        <v>0</v>
      </c>
      <c r="H19" s="6">
        <v>27180</v>
      </c>
    </row>
    <row r="20" spans="1:10" ht="19.5" customHeight="1" x14ac:dyDescent="0.2">
      <c r="A20" s="38" t="s">
        <v>18</v>
      </c>
      <c r="B20" s="2">
        <f t="shared" si="0"/>
        <v>3741775</v>
      </c>
      <c r="C20" s="7">
        <v>3741775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118922310</v>
      </c>
      <c r="C21" s="59">
        <f>C6+C11+C16</f>
        <v>3936261</v>
      </c>
      <c r="D21" s="59">
        <f t="shared" ref="D21:H21" si="6">D6+D11+D16</f>
        <v>14096847</v>
      </c>
      <c r="E21" s="59">
        <f t="shared" si="6"/>
        <v>3217817</v>
      </c>
      <c r="F21" s="59">
        <f t="shared" si="6"/>
        <v>47397587</v>
      </c>
      <c r="G21" s="59">
        <f t="shared" si="6"/>
        <v>79128</v>
      </c>
      <c r="H21" s="59">
        <f t="shared" si="6"/>
        <v>50194670</v>
      </c>
      <c r="J21" s="91">
        <v>118935208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-12898</v>
      </c>
    </row>
    <row r="23" spans="1:10" ht="14.25" customHeight="1" thickBot="1" x14ac:dyDescent="0.25">
      <c r="A23" s="40" t="s">
        <v>14</v>
      </c>
      <c r="B23" s="45">
        <v>11111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10" ht="24.75" customHeight="1" x14ac:dyDescent="0.2">
      <c r="A25" s="47" t="s">
        <v>28</v>
      </c>
      <c r="B25" s="50">
        <f>B27+B28+B29+B26</f>
        <v>10.094999999999999</v>
      </c>
      <c r="C25" s="26">
        <f>C26</f>
        <v>3.26</v>
      </c>
      <c r="D25" s="26">
        <f t="shared" ref="D25:H25" si="7">D27+D28+D29+D26</f>
        <v>0.20799999999999999</v>
      </c>
      <c r="E25" s="26">
        <f>E27+E28+E29+E26</f>
        <v>3.0000000000000001E-3</v>
      </c>
      <c r="F25" s="26">
        <f t="shared" si="7"/>
        <v>5.8609999999999998</v>
      </c>
      <c r="G25" s="26">
        <f t="shared" si="7"/>
        <v>1.6E-2</v>
      </c>
      <c r="H25" s="27">
        <f t="shared" si="7"/>
        <v>0.747</v>
      </c>
    </row>
    <row r="26" spans="1:10" x14ac:dyDescent="0.2">
      <c r="A26" s="48" t="s">
        <v>18</v>
      </c>
      <c r="B26" s="68">
        <f>SUM(C26:H26)</f>
        <v>3.26</v>
      </c>
      <c r="C26" s="28">
        <v>3.26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6.8040000000000003</v>
      </c>
      <c r="C27" s="28"/>
      <c r="D27" s="30">
        <v>0.20799999999999999</v>
      </c>
      <c r="E27" s="30">
        <v>3.0000000000000001E-3</v>
      </c>
      <c r="F27" s="30">
        <v>5.8419999999999996</v>
      </c>
      <c r="G27" s="30">
        <v>1.6E-2</v>
      </c>
      <c r="H27" s="31">
        <v>0.73499999999999999</v>
      </c>
    </row>
    <row r="28" spans="1:10" x14ac:dyDescent="0.2">
      <c r="A28" s="38" t="s">
        <v>7</v>
      </c>
      <c r="B28" s="51">
        <f t="shared" ref="B28:B29" si="8">SUM(C28:H28)</f>
        <v>3.1E-2</v>
      </c>
      <c r="C28" s="30"/>
      <c r="D28" s="30"/>
      <c r="E28" s="30"/>
      <c r="F28" s="30">
        <v>1.9E-2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3">
        <f>SUM(B32:B37)</f>
        <v>27771733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60">
        <v>25718121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406154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1350526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145625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46804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104503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3C16-6286-4639-B1C0-E29F446C1918}">
  <sheetPr codeName="Лист15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7" ht="24.75" customHeight="1" thickBot="1" x14ac:dyDescent="0.25">
      <c r="A3" s="381">
        <v>44256</v>
      </c>
      <c r="B3" s="381"/>
      <c r="C3" s="381"/>
      <c r="D3" s="381"/>
      <c r="E3" s="381"/>
      <c r="F3" s="381"/>
      <c r="G3" s="381"/>
      <c r="H3" s="381"/>
    </row>
    <row r="4" spans="1:1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6830939</v>
      </c>
      <c r="C6" s="83">
        <f>C7+C8+C9+C10</f>
        <v>19320</v>
      </c>
      <c r="D6" s="83">
        <f t="shared" ref="D6:F6" si="1">D7+D8+D9+D10</f>
        <v>71882</v>
      </c>
      <c r="E6" s="83">
        <f t="shared" si="1"/>
        <v>480900</v>
      </c>
      <c r="F6" s="83">
        <f t="shared" si="1"/>
        <v>2630429</v>
      </c>
      <c r="G6" s="83">
        <f>G7+G8+G9+G10</f>
        <v>0</v>
      </c>
      <c r="H6" s="90">
        <f>H7+H8+H9+H10</f>
        <v>3628408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6710274</v>
      </c>
      <c r="C7" s="7"/>
      <c r="D7" s="7">
        <v>71882</v>
      </c>
      <c r="E7" s="7">
        <v>480900</v>
      </c>
      <c r="F7" s="7">
        <v>2626726</v>
      </c>
      <c r="G7" s="7"/>
      <c r="H7" s="6">
        <v>3530766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97692</v>
      </c>
      <c r="C8" s="7"/>
      <c r="D8" s="7"/>
      <c r="E8" s="7">
        <v>0</v>
      </c>
      <c r="F8" s="7">
        <v>3703</v>
      </c>
      <c r="G8" s="7"/>
      <c r="H8" s="6">
        <v>93989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7" ht="15" x14ac:dyDescent="0.25">
      <c r="A9" s="38" t="s">
        <v>8</v>
      </c>
      <c r="B9" s="2">
        <f>D9+E9+F9+G9+H9+C9</f>
        <v>3653</v>
      </c>
      <c r="C9" s="7"/>
      <c r="D9" s="7"/>
      <c r="E9" s="7">
        <v>0</v>
      </c>
      <c r="F9" s="7">
        <v>0</v>
      </c>
      <c r="G9" s="7"/>
      <c r="H9" s="6">
        <v>3653</v>
      </c>
      <c r="J9" s="93" t="s">
        <v>41</v>
      </c>
      <c r="K9" s="75"/>
      <c r="L9" s="75">
        <v>0</v>
      </c>
      <c r="M9" s="75">
        <v>8496</v>
      </c>
      <c r="N9" s="75">
        <v>3077</v>
      </c>
      <c r="O9" s="75"/>
      <c r="P9" s="75"/>
      <c r="Q9" s="76">
        <v>11573</v>
      </c>
    </row>
    <row r="10" spans="1:17" ht="14.25" x14ac:dyDescent="0.2">
      <c r="A10" s="38" t="s">
        <v>18</v>
      </c>
      <c r="B10" s="2">
        <f t="shared" si="0"/>
        <v>19320</v>
      </c>
      <c r="C10" s="7">
        <v>19320</v>
      </c>
      <c r="D10" s="7"/>
      <c r="E10" s="7"/>
      <c r="F10" s="7"/>
      <c r="G10" s="7"/>
      <c r="H10" s="6"/>
      <c r="J10" s="93" t="s">
        <v>1</v>
      </c>
      <c r="K10" s="77">
        <v>0</v>
      </c>
      <c r="L10" s="77">
        <v>0</v>
      </c>
      <c r="M10" s="77">
        <v>8496</v>
      </c>
      <c r="N10" s="77">
        <v>3077</v>
      </c>
      <c r="O10" s="77">
        <v>0</v>
      </c>
      <c r="P10" s="77">
        <v>0</v>
      </c>
      <c r="Q10" s="77">
        <v>11573</v>
      </c>
    </row>
    <row r="11" spans="1:17" ht="15" x14ac:dyDescent="0.25">
      <c r="A11" s="39" t="s">
        <v>9</v>
      </c>
      <c r="B11" s="67">
        <f>D11+E11+F11+G11+H11+C11</f>
        <v>38304817</v>
      </c>
      <c r="C11" s="59">
        <f>C12+C13+C14+C15</f>
        <v>147445</v>
      </c>
      <c r="D11" s="59">
        <f t="shared" ref="D11:G11" si="2">D12+D13+D14+D15</f>
        <v>577929</v>
      </c>
      <c r="E11" s="59">
        <f t="shared" si="2"/>
        <v>128339</v>
      </c>
      <c r="F11" s="59">
        <f t="shared" si="2"/>
        <v>2147335</v>
      </c>
      <c r="G11" s="59">
        <f t="shared" si="2"/>
        <v>22640</v>
      </c>
      <c r="H11" s="35">
        <f>H12+H13+H14+H15</f>
        <v>35281129</v>
      </c>
      <c r="J11" s="93"/>
      <c r="K11" s="78"/>
      <c r="L11" s="78"/>
      <c r="M11" s="78"/>
      <c r="N11" s="78"/>
      <c r="O11" s="78"/>
      <c r="P11" s="78"/>
      <c r="Q11" s="79">
        <v>0</v>
      </c>
    </row>
    <row r="12" spans="1:17" ht="15.75" x14ac:dyDescent="0.25">
      <c r="A12" s="38" t="s">
        <v>17</v>
      </c>
      <c r="B12" s="2">
        <f>D12+E12+F12+G12+H12+C12</f>
        <v>36673938</v>
      </c>
      <c r="C12" s="7"/>
      <c r="D12" s="7">
        <v>577929</v>
      </c>
      <c r="E12" s="7">
        <v>128339</v>
      </c>
      <c r="F12" s="7">
        <v>2125894</v>
      </c>
      <c r="G12" s="7">
        <v>22640</v>
      </c>
      <c r="H12" s="6">
        <v>33819136</v>
      </c>
      <c r="J12" s="94" t="s">
        <v>39</v>
      </c>
      <c r="K12" s="81">
        <v>0</v>
      </c>
      <c r="L12" s="81">
        <v>0</v>
      </c>
      <c r="M12" s="81">
        <v>8496</v>
      </c>
      <c r="N12" s="81">
        <v>3077</v>
      </c>
      <c r="O12" s="81">
        <v>0</v>
      </c>
      <c r="P12" s="81">
        <v>0</v>
      </c>
      <c r="Q12" s="82">
        <v>11573</v>
      </c>
    </row>
    <row r="13" spans="1:17" x14ac:dyDescent="0.2">
      <c r="A13" s="38" t="s">
        <v>7</v>
      </c>
      <c r="B13" s="25">
        <f t="shared" si="0"/>
        <v>1395350</v>
      </c>
      <c r="C13" s="7"/>
      <c r="D13" s="7">
        <v>0</v>
      </c>
      <c r="E13" s="7">
        <v>0</v>
      </c>
      <c r="F13" s="7">
        <v>21441</v>
      </c>
      <c r="G13" s="7">
        <v>0</v>
      </c>
      <c r="H13" s="6">
        <v>1373909</v>
      </c>
    </row>
    <row r="14" spans="1:17" x14ac:dyDescent="0.2">
      <c r="A14" s="38" t="s">
        <v>8</v>
      </c>
      <c r="B14" s="2">
        <f t="shared" si="0"/>
        <v>88084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88084</v>
      </c>
      <c r="Q14" s="32"/>
    </row>
    <row r="15" spans="1:17" x14ac:dyDescent="0.2">
      <c r="A15" s="38" t="s">
        <v>18</v>
      </c>
      <c r="B15" s="2">
        <f t="shared" si="0"/>
        <v>147445</v>
      </c>
      <c r="C15" s="7">
        <v>147445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73807342</v>
      </c>
      <c r="C16" s="59">
        <f t="shared" ref="C16:H16" si="3">C17+C18+C19+C20</f>
        <v>3873786</v>
      </c>
      <c r="D16" s="59">
        <f t="shared" si="3"/>
        <v>13577841</v>
      </c>
      <c r="E16" s="59">
        <f t="shared" si="3"/>
        <v>2895888</v>
      </c>
      <c r="F16" s="59">
        <f t="shared" si="3"/>
        <v>42864342</v>
      </c>
      <c r="G16" s="59">
        <f t="shared" si="3"/>
        <v>63706</v>
      </c>
      <c r="H16" s="35">
        <f t="shared" si="3"/>
        <v>10531779</v>
      </c>
    </row>
    <row r="17" spans="1:10" x14ac:dyDescent="0.2">
      <c r="A17" s="38" t="s">
        <v>17</v>
      </c>
      <c r="B17" s="2">
        <f t="shared" si="0"/>
        <v>69088293</v>
      </c>
      <c r="C17" s="7"/>
      <c r="D17" s="7">
        <v>13577841</v>
      </c>
      <c r="E17" s="7">
        <v>2885063</v>
      </c>
      <c r="F17" s="7">
        <v>42542900</v>
      </c>
      <c r="G17" s="7">
        <v>63706</v>
      </c>
      <c r="H17" s="6">
        <f>10030356-11573</f>
        <v>10018783</v>
      </c>
    </row>
    <row r="18" spans="1:10" x14ac:dyDescent="0.2">
      <c r="A18" s="38" t="s">
        <v>7</v>
      </c>
      <c r="B18" s="25">
        <f t="shared" si="0"/>
        <v>800674</v>
      </c>
      <c r="C18" s="7"/>
      <c r="D18" s="7">
        <v>0</v>
      </c>
      <c r="E18" s="7">
        <v>10825</v>
      </c>
      <c r="F18" s="7">
        <v>303386</v>
      </c>
      <c r="G18" s="7">
        <v>0</v>
      </c>
      <c r="H18" s="6">
        <v>486463</v>
      </c>
    </row>
    <row r="19" spans="1:10" x14ac:dyDescent="0.2">
      <c r="A19" s="38" t="s">
        <v>8</v>
      </c>
      <c r="B19" s="2">
        <f t="shared" si="0"/>
        <v>44589</v>
      </c>
      <c r="C19" s="7"/>
      <c r="D19" s="7">
        <v>0</v>
      </c>
      <c r="E19" s="7">
        <v>0</v>
      </c>
      <c r="F19" s="7">
        <v>18056</v>
      </c>
      <c r="G19" s="7">
        <v>0</v>
      </c>
      <c r="H19" s="6">
        <v>26533</v>
      </c>
    </row>
    <row r="20" spans="1:10" ht="19.5" customHeight="1" x14ac:dyDescent="0.2">
      <c r="A20" s="38" t="s">
        <v>18</v>
      </c>
      <c r="B20" s="2">
        <f t="shared" si="0"/>
        <v>3873786</v>
      </c>
      <c r="C20" s="7">
        <v>3873786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118943098</v>
      </c>
      <c r="C21" s="59">
        <f>C6+C11+C16</f>
        <v>4040551</v>
      </c>
      <c r="D21" s="59">
        <f t="shared" ref="D21:H21" si="4">D6+D11+D16</f>
        <v>14227652</v>
      </c>
      <c r="E21" s="59">
        <f t="shared" si="4"/>
        <v>3505127</v>
      </c>
      <c r="F21" s="59">
        <f t="shared" si="4"/>
        <v>47642106</v>
      </c>
      <c r="G21" s="59">
        <f t="shared" si="4"/>
        <v>86346</v>
      </c>
      <c r="H21" s="59">
        <f t="shared" si="4"/>
        <v>49441316</v>
      </c>
      <c r="J21" s="91">
        <v>118954671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-11573</v>
      </c>
    </row>
    <row r="23" spans="1:10" ht="14.25" customHeight="1" thickBot="1" x14ac:dyDescent="0.25">
      <c r="A23" s="40" t="s">
        <v>14</v>
      </c>
      <c r="B23" s="45">
        <v>8328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10" ht="24.75" customHeight="1" x14ac:dyDescent="0.2">
      <c r="A25" s="47" t="s">
        <v>28</v>
      </c>
      <c r="B25" s="50">
        <f>B27+B28+B29+B26</f>
        <v>9.2569999999999997</v>
      </c>
      <c r="C25" s="26">
        <f>C26</f>
        <v>2.9990000000000001</v>
      </c>
      <c r="D25" s="26">
        <f t="shared" ref="D25:H25" si="5">D27+D28+D29+D26</f>
        <v>0.19900000000000001</v>
      </c>
      <c r="E25" s="26">
        <f>E27+E28+E29+E26</f>
        <v>3.0000000000000001E-3</v>
      </c>
      <c r="F25" s="26">
        <f t="shared" si="5"/>
        <v>5.3039999999999994</v>
      </c>
      <c r="G25" s="26">
        <f t="shared" si="5"/>
        <v>1.4999999999999999E-2</v>
      </c>
      <c r="H25" s="27">
        <f t="shared" si="5"/>
        <v>0.73699999999999999</v>
      </c>
    </row>
    <row r="26" spans="1:10" x14ac:dyDescent="0.2">
      <c r="A26" s="48" t="s">
        <v>18</v>
      </c>
      <c r="B26" s="68">
        <f>SUM(C26:H26)</f>
        <v>2.9990000000000001</v>
      </c>
      <c r="C26" s="28">
        <v>2.9990000000000001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6.230999999999999</v>
      </c>
      <c r="C27" s="28"/>
      <c r="D27" s="30">
        <v>0.19900000000000001</v>
      </c>
      <c r="E27" s="30">
        <v>3.0000000000000001E-3</v>
      </c>
      <c r="F27" s="30">
        <v>5.2889999999999997</v>
      </c>
      <c r="G27" s="30">
        <v>1.4999999999999999E-2</v>
      </c>
      <c r="H27" s="31">
        <v>0.72499999999999998</v>
      </c>
    </row>
    <row r="28" spans="1:10" x14ac:dyDescent="0.2">
      <c r="A28" s="38" t="s">
        <v>7</v>
      </c>
      <c r="B28" s="51">
        <f t="shared" ref="B28:B29" si="6">SUM(C28:H28)</f>
        <v>2.7E-2</v>
      </c>
      <c r="C28" s="30"/>
      <c r="D28" s="30"/>
      <c r="E28" s="30"/>
      <c r="F28" s="30">
        <v>1.4999999999999999E-2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3">
        <f>SUM(B32:B37)</f>
        <v>29474151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60">
        <v>27260474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363781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1518003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134497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133707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63689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5F9F-3488-4153-9C33-55C5084635C5}">
  <sheetPr codeName="Лист16">
    <tabColor rgb="FFFFFFCC"/>
  </sheetPr>
  <dimension ref="A1:Q44"/>
  <sheetViews>
    <sheetView zoomScale="87" zoomScaleNormal="87" workbookViewId="0">
      <selection activeCell="T31" sqref="T31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7" ht="24.75" customHeight="1" thickBot="1" x14ac:dyDescent="0.25">
      <c r="A3" s="381">
        <v>44287</v>
      </c>
      <c r="B3" s="381"/>
      <c r="C3" s="381"/>
      <c r="D3" s="381"/>
      <c r="E3" s="381"/>
      <c r="F3" s="381"/>
      <c r="G3" s="381"/>
      <c r="H3" s="381"/>
    </row>
    <row r="4" spans="1:1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5558373</v>
      </c>
      <c r="C6" s="97">
        <f>C7+C8+C9+C10</f>
        <v>17880</v>
      </c>
      <c r="D6" s="97">
        <f t="shared" ref="D6:F6" si="1">D7+D8+D9+D10</f>
        <v>58698</v>
      </c>
      <c r="E6" s="97">
        <f t="shared" si="1"/>
        <v>403040</v>
      </c>
      <c r="F6" s="97">
        <f t="shared" si="1"/>
        <v>2049158</v>
      </c>
      <c r="G6" s="97">
        <f>G7+G8+G9+G10</f>
        <v>0</v>
      </c>
      <c r="H6" s="98">
        <f>H7+H8+H9+H10</f>
        <v>3029597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5432866</v>
      </c>
      <c r="C7" s="7"/>
      <c r="D7" s="7">
        <v>58698</v>
      </c>
      <c r="E7" s="7">
        <v>403040</v>
      </c>
      <c r="F7" s="7">
        <v>2046427</v>
      </c>
      <c r="G7" s="7"/>
      <c r="H7" s="6">
        <v>2924701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103140</v>
      </c>
      <c r="C8" s="7"/>
      <c r="D8" s="7"/>
      <c r="E8" s="7">
        <v>0</v>
      </c>
      <c r="F8" s="7">
        <v>2731</v>
      </c>
      <c r="G8" s="7"/>
      <c r="H8" s="6">
        <v>100409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7" ht="15" x14ac:dyDescent="0.25">
      <c r="A9" s="38" t="s">
        <v>8</v>
      </c>
      <c r="B9" s="2">
        <f>D9+E9+F9+G9+H9+C9</f>
        <v>4487</v>
      </c>
      <c r="C9" s="7"/>
      <c r="D9" s="7"/>
      <c r="E9" s="7">
        <v>0</v>
      </c>
      <c r="F9" s="7">
        <v>0</v>
      </c>
      <c r="G9" s="7"/>
      <c r="H9" s="6">
        <v>4487</v>
      </c>
      <c r="J9" s="93" t="s">
        <v>41</v>
      </c>
      <c r="K9" s="75"/>
      <c r="L9" s="75">
        <v>0</v>
      </c>
      <c r="M9" s="75">
        <v>8316</v>
      </c>
      <c r="N9" s="75">
        <v>2367</v>
      </c>
      <c r="O9" s="75"/>
      <c r="P9" s="75"/>
      <c r="Q9" s="76">
        <v>10683</v>
      </c>
    </row>
    <row r="10" spans="1:17" ht="14.25" x14ac:dyDescent="0.2">
      <c r="A10" s="38" t="s">
        <v>18</v>
      </c>
      <c r="B10" s="2">
        <f t="shared" si="0"/>
        <v>17880</v>
      </c>
      <c r="C10" s="7">
        <v>17880</v>
      </c>
      <c r="D10" s="7"/>
      <c r="E10" s="7"/>
      <c r="F10" s="7"/>
      <c r="G10" s="7"/>
      <c r="H10" s="6"/>
      <c r="J10" s="93" t="s">
        <v>1</v>
      </c>
      <c r="K10" s="77">
        <v>0</v>
      </c>
      <c r="L10" s="77">
        <v>0</v>
      </c>
      <c r="M10" s="77">
        <v>8316</v>
      </c>
      <c r="N10" s="77">
        <v>2367</v>
      </c>
      <c r="O10" s="77">
        <v>0</v>
      </c>
      <c r="P10" s="77">
        <v>0</v>
      </c>
      <c r="Q10" s="77">
        <v>10683</v>
      </c>
    </row>
    <row r="11" spans="1:17" ht="15" x14ac:dyDescent="0.25">
      <c r="A11" s="39" t="s">
        <v>9</v>
      </c>
      <c r="B11" s="67">
        <f>D11+E11+F11+G11+H11+C11</f>
        <v>37858512</v>
      </c>
      <c r="C11" s="99">
        <f>C12+C13+C14+C15</f>
        <v>117681</v>
      </c>
      <c r="D11" s="99">
        <f t="shared" ref="D11:G11" si="2">D12+D13+D14+D15</f>
        <v>582473</v>
      </c>
      <c r="E11" s="99">
        <f t="shared" si="2"/>
        <v>109107</v>
      </c>
      <c r="F11" s="99">
        <f t="shared" si="2"/>
        <v>2149350</v>
      </c>
      <c r="G11" s="99">
        <f t="shared" si="2"/>
        <v>9440</v>
      </c>
      <c r="H11" s="100">
        <f>H12+H13+H14+H15</f>
        <v>34890461</v>
      </c>
      <c r="J11" s="93"/>
      <c r="K11" s="78"/>
      <c r="L11" s="78"/>
      <c r="M11" s="78"/>
      <c r="N11" s="78"/>
      <c r="O11" s="78"/>
      <c r="P11" s="78"/>
      <c r="Q11" s="79">
        <v>0</v>
      </c>
    </row>
    <row r="12" spans="1:17" ht="15.75" x14ac:dyDescent="0.25">
      <c r="A12" s="38" t="s">
        <v>17</v>
      </c>
      <c r="B12" s="2">
        <f>D12+E12+F12+G12+H12+C12</f>
        <v>35807722</v>
      </c>
      <c r="C12" s="7"/>
      <c r="D12" s="7">
        <v>582473</v>
      </c>
      <c r="E12" s="7">
        <v>109107</v>
      </c>
      <c r="F12" s="7">
        <v>2119829</v>
      </c>
      <c r="G12" s="7">
        <v>9440</v>
      </c>
      <c r="H12" s="6">
        <v>32986873</v>
      </c>
      <c r="J12" s="94" t="s">
        <v>39</v>
      </c>
      <c r="K12" s="81">
        <v>0</v>
      </c>
      <c r="L12" s="81">
        <v>0</v>
      </c>
      <c r="M12" s="81">
        <v>8316</v>
      </c>
      <c r="N12" s="81">
        <v>2367</v>
      </c>
      <c r="O12" s="81">
        <v>0</v>
      </c>
      <c r="P12" s="81">
        <v>0</v>
      </c>
      <c r="Q12" s="82">
        <v>10683</v>
      </c>
    </row>
    <row r="13" spans="1:17" x14ac:dyDescent="0.2">
      <c r="A13" s="38" t="s">
        <v>7</v>
      </c>
      <c r="B13" s="25">
        <f t="shared" si="0"/>
        <v>1841583</v>
      </c>
      <c r="C13" s="7"/>
      <c r="D13" s="7">
        <v>0</v>
      </c>
      <c r="E13" s="7">
        <v>0</v>
      </c>
      <c r="F13" s="7">
        <v>29521</v>
      </c>
      <c r="G13" s="7">
        <v>0</v>
      </c>
      <c r="H13" s="6">
        <v>1812062</v>
      </c>
    </row>
    <row r="14" spans="1:17" x14ac:dyDescent="0.2">
      <c r="A14" s="38" t="s">
        <v>8</v>
      </c>
      <c r="B14" s="2">
        <f t="shared" si="0"/>
        <v>91526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91526</v>
      </c>
      <c r="Q14" s="32"/>
    </row>
    <row r="15" spans="1:17" x14ac:dyDescent="0.2">
      <c r="A15" s="38" t="s">
        <v>18</v>
      </c>
      <c r="B15" s="2">
        <f t="shared" si="0"/>
        <v>117681</v>
      </c>
      <c r="C15" s="7">
        <v>117681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62610093</v>
      </c>
      <c r="C16" s="99">
        <f t="shared" ref="C16:H16" si="3">C17+C18+C19+C20</f>
        <v>2277949</v>
      </c>
      <c r="D16" s="99">
        <f t="shared" si="3"/>
        <v>10933169</v>
      </c>
      <c r="E16" s="99">
        <f t="shared" si="3"/>
        <v>2624550</v>
      </c>
      <c r="F16" s="99">
        <f t="shared" si="3"/>
        <v>37885646</v>
      </c>
      <c r="G16" s="99">
        <f t="shared" si="3"/>
        <v>65044</v>
      </c>
      <c r="H16" s="100">
        <f t="shared" si="3"/>
        <v>8823735</v>
      </c>
    </row>
    <row r="17" spans="1:10" x14ac:dyDescent="0.2">
      <c r="A17" s="38" t="s">
        <v>17</v>
      </c>
      <c r="B17" s="2">
        <f t="shared" si="0"/>
        <v>59517647</v>
      </c>
      <c r="C17" s="7"/>
      <c r="D17" s="7">
        <v>10933169</v>
      </c>
      <c r="E17" s="7">
        <v>2613439</v>
      </c>
      <c r="F17" s="7">
        <v>37536858</v>
      </c>
      <c r="G17" s="7">
        <v>65044</v>
      </c>
      <c r="H17" s="6">
        <f>8379820-10683</f>
        <v>8369137</v>
      </c>
    </row>
    <row r="18" spans="1:10" x14ac:dyDescent="0.2">
      <c r="A18" s="38" t="s">
        <v>7</v>
      </c>
      <c r="B18" s="25">
        <f t="shared" si="0"/>
        <v>771626</v>
      </c>
      <c r="C18" s="7"/>
      <c r="D18" s="7">
        <v>0</v>
      </c>
      <c r="E18" s="7">
        <v>11111</v>
      </c>
      <c r="F18" s="7">
        <v>332465</v>
      </c>
      <c r="G18" s="7">
        <v>0</v>
      </c>
      <c r="H18" s="6">
        <v>428050</v>
      </c>
    </row>
    <row r="19" spans="1:10" x14ac:dyDescent="0.2">
      <c r="A19" s="38" t="s">
        <v>8</v>
      </c>
      <c r="B19" s="2">
        <f t="shared" si="0"/>
        <v>42871</v>
      </c>
      <c r="C19" s="7"/>
      <c r="D19" s="7">
        <v>0</v>
      </c>
      <c r="E19" s="7">
        <v>0</v>
      </c>
      <c r="F19" s="7">
        <v>16323</v>
      </c>
      <c r="G19" s="7">
        <v>0</v>
      </c>
      <c r="H19" s="6">
        <v>26548</v>
      </c>
    </row>
    <row r="20" spans="1:10" ht="19.5" customHeight="1" x14ac:dyDescent="0.2">
      <c r="A20" s="38" t="s">
        <v>18</v>
      </c>
      <c r="B20" s="2">
        <f t="shared" si="0"/>
        <v>2277949</v>
      </c>
      <c r="C20" s="7">
        <v>2277949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106026978</v>
      </c>
      <c r="C21" s="59">
        <f>C6+C11+C16</f>
        <v>2413510</v>
      </c>
      <c r="D21" s="59">
        <f t="shared" ref="D21:H21" si="4">D6+D11+D16</f>
        <v>11574340</v>
      </c>
      <c r="E21" s="59">
        <f t="shared" si="4"/>
        <v>3136697</v>
      </c>
      <c r="F21" s="59">
        <f t="shared" si="4"/>
        <v>42084154</v>
      </c>
      <c r="G21" s="59">
        <f t="shared" si="4"/>
        <v>74484</v>
      </c>
      <c r="H21" s="59">
        <f t="shared" si="4"/>
        <v>46743793</v>
      </c>
      <c r="J21" s="91">
        <v>106037661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-10683</v>
      </c>
    </row>
    <row r="23" spans="1:10" ht="14.25" customHeight="1" thickBot="1" x14ac:dyDescent="0.25">
      <c r="A23" s="40" t="s">
        <v>14</v>
      </c>
      <c r="B23" s="45">
        <v>7880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10" ht="24.75" customHeight="1" x14ac:dyDescent="0.2">
      <c r="A25" s="47" t="s">
        <v>28</v>
      </c>
      <c r="B25" s="50">
        <f>B27+B28+B29+B26</f>
        <v>8.8320000000000007</v>
      </c>
      <c r="C25" s="26">
        <f>C26</f>
        <v>2.6419999999999999</v>
      </c>
      <c r="D25" s="26">
        <f t="shared" ref="D25:H25" si="5">D27+D28+D29+D26</f>
        <v>0.16400000000000001</v>
      </c>
      <c r="E25" s="26">
        <f>E27+E28+E29+E26</f>
        <v>3.0000000000000001E-3</v>
      </c>
      <c r="F25" s="26">
        <f t="shared" si="5"/>
        <v>5.4330000000000007</v>
      </c>
      <c r="G25" s="26">
        <f t="shared" si="5"/>
        <v>1.9E-2</v>
      </c>
      <c r="H25" s="27">
        <f t="shared" si="5"/>
        <v>0.57100000000000006</v>
      </c>
    </row>
    <row r="26" spans="1:10" x14ac:dyDescent="0.2">
      <c r="A26" s="48" t="s">
        <v>18</v>
      </c>
      <c r="B26" s="68">
        <f>SUM(C26:H26)</f>
        <v>2.6419999999999999</v>
      </c>
      <c r="C26" s="28">
        <v>2.6419999999999999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6.1690000000000005</v>
      </c>
      <c r="C27" s="28"/>
      <c r="D27" s="30">
        <v>0.16400000000000001</v>
      </c>
      <c r="E27" s="30">
        <v>3.0000000000000001E-3</v>
      </c>
      <c r="F27" s="30">
        <v>5.4240000000000004</v>
      </c>
      <c r="G27" s="30">
        <v>1.9E-2</v>
      </c>
      <c r="H27" s="31">
        <v>0.55900000000000005</v>
      </c>
    </row>
    <row r="28" spans="1:10" x14ac:dyDescent="0.2">
      <c r="A28" s="38" t="s">
        <v>7</v>
      </c>
      <c r="B28" s="51">
        <f t="shared" ref="B28:B29" si="6">SUM(C28:H28)</f>
        <v>2.0999999999999998E-2</v>
      </c>
      <c r="C28" s="30"/>
      <c r="D28" s="30"/>
      <c r="E28" s="30"/>
      <c r="F28" s="30">
        <v>8.9999999999999993E-3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20308158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18264750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427378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1421238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98894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60312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35586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D7B-8F9B-4395-93F8-7210BA3E098A}">
  <sheetPr codeName="Лист17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7" ht="24.75" customHeight="1" thickBot="1" x14ac:dyDescent="0.25">
      <c r="A3" s="381">
        <v>44317</v>
      </c>
      <c r="B3" s="381"/>
      <c r="C3" s="381"/>
      <c r="D3" s="381"/>
      <c r="E3" s="381"/>
      <c r="F3" s="381"/>
      <c r="G3" s="381"/>
      <c r="H3" s="381"/>
    </row>
    <row r="4" spans="1:1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4079629</v>
      </c>
      <c r="C6" s="83">
        <f>C7+C8+C9+C10</f>
        <v>16635</v>
      </c>
      <c r="D6" s="83">
        <f t="shared" ref="D6:F6" si="1">D7+D8+D9+D10</f>
        <v>57850</v>
      </c>
      <c r="E6" s="83">
        <f t="shared" si="1"/>
        <v>336258</v>
      </c>
      <c r="F6" s="83">
        <f t="shared" si="1"/>
        <v>1704066</v>
      </c>
      <c r="G6" s="83">
        <f>G7+G8+G9+G10</f>
        <v>0</v>
      </c>
      <c r="H6" s="90">
        <f>H7+H8+H9+H10</f>
        <v>1964820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3973714</v>
      </c>
      <c r="C7" s="7"/>
      <c r="D7" s="7">
        <v>57850</v>
      </c>
      <c r="E7" s="7">
        <v>336258</v>
      </c>
      <c r="F7" s="7">
        <v>1700834</v>
      </c>
      <c r="G7" s="7"/>
      <c r="H7" s="6">
        <v>1878772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86478</v>
      </c>
      <c r="C8" s="7"/>
      <c r="D8" s="7"/>
      <c r="E8" s="7">
        <v>0</v>
      </c>
      <c r="F8" s="7">
        <v>3232</v>
      </c>
      <c r="G8" s="7"/>
      <c r="H8" s="6">
        <v>83246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2802</v>
      </c>
      <c r="C9" s="7"/>
      <c r="D9" s="7"/>
      <c r="E9" s="7">
        <v>0</v>
      </c>
      <c r="F9" s="7">
        <v>0</v>
      </c>
      <c r="G9" s="7"/>
      <c r="H9" s="6">
        <v>2802</v>
      </c>
      <c r="J9" s="74" t="s">
        <v>41</v>
      </c>
      <c r="K9" s="75"/>
      <c r="L9" s="75">
        <v>0</v>
      </c>
      <c r="M9" s="75">
        <v>9384</v>
      </c>
      <c r="N9" s="75">
        <v>3164</v>
      </c>
      <c r="O9" s="75"/>
      <c r="P9" s="75"/>
      <c r="Q9" s="76">
        <f>SUM(K9:P9)</f>
        <v>12548</v>
      </c>
    </row>
    <row r="10" spans="1:17" ht="14.25" x14ac:dyDescent="0.2">
      <c r="A10" s="38" t="s">
        <v>18</v>
      </c>
      <c r="B10" s="2">
        <f t="shared" si="0"/>
        <v>16635</v>
      </c>
      <c r="C10" s="7">
        <v>16635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9384</v>
      </c>
      <c r="N10" s="77">
        <f t="shared" si="2"/>
        <v>3164</v>
      </c>
      <c r="O10" s="77">
        <f t="shared" si="2"/>
        <v>0</v>
      </c>
      <c r="P10" s="77">
        <f t="shared" si="2"/>
        <v>0</v>
      </c>
      <c r="Q10" s="77">
        <f>SUM(K10:P10)</f>
        <v>12548</v>
      </c>
    </row>
    <row r="11" spans="1:17" ht="15" x14ac:dyDescent="0.25">
      <c r="A11" s="39" t="s">
        <v>9</v>
      </c>
      <c r="B11" s="67">
        <f>D11+E11+F11+G11+H11+C11</f>
        <v>36877918</v>
      </c>
      <c r="C11" s="59">
        <f>C12+C13+C14+C15</f>
        <v>120031</v>
      </c>
      <c r="D11" s="59">
        <f t="shared" ref="D11:G11" si="3">D12+D13+D14+D15</f>
        <v>589305</v>
      </c>
      <c r="E11" s="59">
        <f t="shared" si="3"/>
        <v>118683</v>
      </c>
      <c r="F11" s="59">
        <f t="shared" si="3"/>
        <v>2486663</v>
      </c>
      <c r="G11" s="59">
        <f t="shared" si="3"/>
        <v>0</v>
      </c>
      <c r="H11" s="35">
        <f>H12+H13+H14+H15</f>
        <v>33563236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35172137</v>
      </c>
      <c r="C12" s="7"/>
      <c r="D12" s="7">
        <v>589305</v>
      </c>
      <c r="E12" s="7">
        <v>118683</v>
      </c>
      <c r="F12" s="7">
        <v>2443335</v>
      </c>
      <c r="G12" s="7"/>
      <c r="H12" s="6">
        <v>32020814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9384</v>
      </c>
      <c r="N12" s="81">
        <f t="shared" si="4"/>
        <v>3164</v>
      </c>
      <c r="O12" s="81">
        <f t="shared" si="4"/>
        <v>0</v>
      </c>
      <c r="P12" s="81">
        <f t="shared" si="4"/>
        <v>0</v>
      </c>
      <c r="Q12" s="82">
        <f>SUM(K12:P12)</f>
        <v>12548</v>
      </c>
    </row>
    <row r="13" spans="1:17" x14ac:dyDescent="0.2">
      <c r="A13" s="38" t="s">
        <v>7</v>
      </c>
      <c r="B13" s="25">
        <f t="shared" si="0"/>
        <v>1492639</v>
      </c>
      <c r="C13" s="7"/>
      <c r="D13" s="7">
        <v>0</v>
      </c>
      <c r="E13" s="7">
        <v>0</v>
      </c>
      <c r="F13" s="7">
        <v>43328</v>
      </c>
      <c r="G13" s="7"/>
      <c r="H13" s="6">
        <v>1449311</v>
      </c>
    </row>
    <row r="14" spans="1:17" x14ac:dyDescent="0.2">
      <c r="A14" s="38" t="s">
        <v>8</v>
      </c>
      <c r="B14" s="2">
        <f t="shared" si="0"/>
        <v>93111</v>
      </c>
      <c r="C14" s="7"/>
      <c r="D14" s="7">
        <v>0</v>
      </c>
      <c r="E14" s="7">
        <v>0</v>
      </c>
      <c r="F14" s="7">
        <v>0</v>
      </c>
      <c r="G14" s="7"/>
      <c r="H14" s="6">
        <v>93111</v>
      </c>
      <c r="Q14" s="32"/>
    </row>
    <row r="15" spans="1:17" x14ac:dyDescent="0.2">
      <c r="A15" s="38" t="s">
        <v>18</v>
      </c>
      <c r="B15" s="2">
        <f t="shared" si="0"/>
        <v>120031</v>
      </c>
      <c r="C15" s="7">
        <v>120031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57115159</v>
      </c>
      <c r="C16" s="59">
        <f t="shared" ref="C16:H16" si="5">C17+C18+C19+C20</f>
        <v>1903852</v>
      </c>
      <c r="D16" s="59">
        <f t="shared" si="5"/>
        <v>9498702</v>
      </c>
      <c r="E16" s="59">
        <f t="shared" si="5"/>
        <v>2584647</v>
      </c>
      <c r="F16" s="59">
        <f t="shared" si="5"/>
        <v>35593411</v>
      </c>
      <c r="G16" s="59">
        <f t="shared" si="5"/>
        <v>69288</v>
      </c>
      <c r="H16" s="35">
        <f t="shared" si="5"/>
        <v>7465259</v>
      </c>
    </row>
    <row r="17" spans="1:10" x14ac:dyDescent="0.2">
      <c r="A17" s="38" t="s">
        <v>17</v>
      </c>
      <c r="B17" s="2">
        <f t="shared" si="0"/>
        <v>54594063</v>
      </c>
      <c r="C17" s="7"/>
      <c r="D17" s="7">
        <v>9498702</v>
      </c>
      <c r="E17" s="7">
        <v>2570971</v>
      </c>
      <c r="F17" s="7">
        <v>35334018</v>
      </c>
      <c r="G17" s="7">
        <v>69288</v>
      </c>
      <c r="H17" s="6">
        <f>7133632-12548</f>
        <v>7121084</v>
      </c>
    </row>
    <row r="18" spans="1:10" x14ac:dyDescent="0.2">
      <c r="A18" s="38" t="s">
        <v>7</v>
      </c>
      <c r="B18" s="25">
        <f t="shared" si="0"/>
        <v>567909</v>
      </c>
      <c r="C18" s="7"/>
      <c r="D18" s="7">
        <v>0</v>
      </c>
      <c r="E18" s="7">
        <v>13676</v>
      </c>
      <c r="F18" s="7">
        <v>236993</v>
      </c>
      <c r="G18" s="7">
        <v>0</v>
      </c>
      <c r="H18" s="6">
        <v>317240</v>
      </c>
    </row>
    <row r="19" spans="1:10" x14ac:dyDescent="0.2">
      <c r="A19" s="38" t="s">
        <v>8</v>
      </c>
      <c r="B19" s="2">
        <f t="shared" si="0"/>
        <v>49335</v>
      </c>
      <c r="C19" s="7"/>
      <c r="D19" s="7">
        <v>0</v>
      </c>
      <c r="E19" s="7">
        <v>0</v>
      </c>
      <c r="F19" s="7">
        <v>22400</v>
      </c>
      <c r="G19" s="7">
        <v>0</v>
      </c>
      <c r="H19" s="6">
        <v>26935</v>
      </c>
    </row>
    <row r="20" spans="1:10" ht="19.5" customHeight="1" x14ac:dyDescent="0.2">
      <c r="A20" s="38" t="s">
        <v>18</v>
      </c>
      <c r="B20" s="2">
        <f t="shared" si="0"/>
        <v>1903852</v>
      </c>
      <c r="C20" s="7">
        <v>1903852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98072706</v>
      </c>
      <c r="C21" s="59">
        <f>C6+C11+C16</f>
        <v>2040518</v>
      </c>
      <c r="D21" s="59">
        <f t="shared" ref="D21:H21" si="6">D6+D11+D16</f>
        <v>10145857</v>
      </c>
      <c r="E21" s="59">
        <f t="shared" si="6"/>
        <v>3039588</v>
      </c>
      <c r="F21" s="59">
        <f t="shared" si="6"/>
        <v>39784140</v>
      </c>
      <c r="G21" s="59">
        <f t="shared" si="6"/>
        <v>69288</v>
      </c>
      <c r="H21" s="59">
        <f t="shared" si="6"/>
        <v>42993315</v>
      </c>
      <c r="J21" s="91">
        <v>98085254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-12548</v>
      </c>
    </row>
    <row r="23" spans="1:10" ht="14.25" customHeight="1" thickBot="1" x14ac:dyDescent="0.25">
      <c r="A23" s="40" t="s">
        <v>14</v>
      </c>
      <c r="B23" s="45">
        <v>5977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10" ht="24.75" customHeight="1" x14ac:dyDescent="0.2">
      <c r="A25" s="47" t="s">
        <v>28</v>
      </c>
      <c r="B25" s="50">
        <f>B27+B28+B29+B26</f>
        <v>8.6810000000000009</v>
      </c>
      <c r="C25" s="26">
        <f>C26</f>
        <v>2.3769999999999998</v>
      </c>
      <c r="D25" s="26">
        <f t="shared" ref="D25:H25" si="7">D27+D28+D29+D26</f>
        <v>0.20399999999999999</v>
      </c>
      <c r="E25" s="26">
        <f>E27+E28+E29+E26</f>
        <v>3.0000000000000001E-3</v>
      </c>
      <c r="F25" s="26">
        <f t="shared" si="7"/>
        <v>5.66</v>
      </c>
      <c r="G25" s="26">
        <f t="shared" si="7"/>
        <v>1.9E-2</v>
      </c>
      <c r="H25" s="27">
        <f t="shared" si="7"/>
        <v>0.41800000000000004</v>
      </c>
    </row>
    <row r="26" spans="1:10" x14ac:dyDescent="0.2">
      <c r="A26" s="48" t="s">
        <v>18</v>
      </c>
      <c r="B26" s="68">
        <f>SUM(C26:H26)</f>
        <v>2.3769999999999998</v>
      </c>
      <c r="C26" s="28">
        <v>2.3769999999999998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6.28</v>
      </c>
      <c r="C27" s="28"/>
      <c r="D27" s="30">
        <v>0.20399999999999999</v>
      </c>
      <c r="E27" s="30">
        <v>3.0000000000000001E-3</v>
      </c>
      <c r="F27" s="30">
        <v>5.65</v>
      </c>
      <c r="G27" s="30">
        <v>1.9E-2</v>
      </c>
      <c r="H27" s="31">
        <v>0.40400000000000003</v>
      </c>
    </row>
    <row r="28" spans="1:10" x14ac:dyDescent="0.2">
      <c r="A28" s="38" t="s">
        <v>7</v>
      </c>
      <c r="B28" s="51">
        <f t="shared" ref="B28:B29" si="8">SUM(C28:H28)</f>
        <v>2.4E-2</v>
      </c>
      <c r="C28" s="30"/>
      <c r="D28" s="30"/>
      <c r="E28" s="30"/>
      <c r="F28" s="30">
        <v>0.01</v>
      </c>
      <c r="G28" s="30"/>
      <c r="H28" s="31">
        <v>1.4E-2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19862976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18104586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347669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1182964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113367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82057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32333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D0C9-8615-4415-99C3-35301EADA38A}">
  <sheetPr codeName="Лист18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8" width="0" hidden="1" customWidth="1"/>
  </cols>
  <sheetData>
    <row r="1" spans="1:17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7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7" ht="24.75" customHeight="1" thickBot="1" x14ac:dyDescent="0.25">
      <c r="A3" s="381">
        <v>44348</v>
      </c>
      <c r="B3" s="381"/>
      <c r="C3" s="381"/>
      <c r="D3" s="381"/>
      <c r="E3" s="381"/>
      <c r="F3" s="381"/>
      <c r="G3" s="381"/>
      <c r="H3" s="381"/>
    </row>
    <row r="4" spans="1:17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7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3758924</v>
      </c>
      <c r="C6" s="83">
        <f>C7+C8+C9+C10</f>
        <v>17449</v>
      </c>
      <c r="D6" s="83">
        <f t="shared" ref="D6:F6" si="1">D7+D8+D9+D10</f>
        <v>52382</v>
      </c>
      <c r="E6" s="83">
        <f t="shared" si="1"/>
        <v>278734</v>
      </c>
      <c r="F6" s="83">
        <f t="shared" si="1"/>
        <v>1654969</v>
      </c>
      <c r="G6" s="83">
        <f>G7+G8+G9+G10</f>
        <v>0</v>
      </c>
      <c r="H6" s="90">
        <f>H7+H8+H9+H10</f>
        <v>1755390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3649020</v>
      </c>
      <c r="C7" s="7"/>
      <c r="D7" s="7">
        <v>52382</v>
      </c>
      <c r="E7" s="7">
        <v>278734</v>
      </c>
      <c r="F7" s="7">
        <v>1652421</v>
      </c>
      <c r="G7" s="7"/>
      <c r="H7" s="6">
        <v>1665483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89523</v>
      </c>
      <c r="C8" s="7"/>
      <c r="D8" s="7"/>
      <c r="E8" s="7">
        <v>0</v>
      </c>
      <c r="F8" s="7">
        <v>2548</v>
      </c>
      <c r="G8" s="7"/>
      <c r="H8" s="6">
        <v>86975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2932</v>
      </c>
      <c r="C9" s="7"/>
      <c r="D9" s="7"/>
      <c r="E9" s="7">
        <v>0</v>
      </c>
      <c r="F9" s="7">
        <v>0</v>
      </c>
      <c r="G9" s="7"/>
      <c r="H9" s="6">
        <v>2932</v>
      </c>
      <c r="J9" s="74" t="s">
        <v>41</v>
      </c>
      <c r="K9" s="75"/>
      <c r="L9" s="75">
        <v>0</v>
      </c>
      <c r="M9" s="75">
        <v>9378</v>
      </c>
      <c r="N9" s="75">
        <v>2290</v>
      </c>
      <c r="O9" s="75"/>
      <c r="P9" s="75"/>
      <c r="Q9" s="76">
        <f>SUM(K9:P9)</f>
        <v>11668</v>
      </c>
    </row>
    <row r="10" spans="1:17" ht="14.25" x14ac:dyDescent="0.2">
      <c r="A10" s="38" t="s">
        <v>18</v>
      </c>
      <c r="B10" s="2">
        <f t="shared" si="0"/>
        <v>17449</v>
      </c>
      <c r="C10" s="7">
        <v>17449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9378</v>
      </c>
      <c r="N10" s="77">
        <f t="shared" si="2"/>
        <v>2290</v>
      </c>
      <c r="O10" s="77">
        <f t="shared" si="2"/>
        <v>0</v>
      </c>
      <c r="P10" s="77">
        <f t="shared" si="2"/>
        <v>0</v>
      </c>
      <c r="Q10" s="77">
        <f>SUM(K10:P10)</f>
        <v>11668</v>
      </c>
    </row>
    <row r="11" spans="1:17" ht="15" x14ac:dyDescent="0.25">
      <c r="A11" s="39" t="s">
        <v>9</v>
      </c>
      <c r="B11" s="67">
        <f>D11+E11+F11+G11+H11+C11</f>
        <v>38857579</v>
      </c>
      <c r="C11" s="59">
        <f>C12+C13+C14+C15</f>
        <v>104893</v>
      </c>
      <c r="D11" s="59">
        <f t="shared" ref="D11:G11" si="3">D12+D13+D14+D15</f>
        <v>562178</v>
      </c>
      <c r="E11" s="59">
        <f t="shared" si="3"/>
        <v>113268</v>
      </c>
      <c r="F11" s="59">
        <f t="shared" si="3"/>
        <v>2617892</v>
      </c>
      <c r="G11" s="59">
        <f t="shared" si="3"/>
        <v>0</v>
      </c>
      <c r="H11" s="35">
        <f>H12+H13+H14+H15</f>
        <v>35459348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37332438</v>
      </c>
      <c r="C12" s="7"/>
      <c r="D12" s="7">
        <v>562178</v>
      </c>
      <c r="E12" s="7">
        <v>113268</v>
      </c>
      <c r="F12" s="7">
        <v>2555812</v>
      </c>
      <c r="G12" s="7"/>
      <c r="H12" s="6">
        <v>34101180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9378</v>
      </c>
      <c r="N12" s="81">
        <f t="shared" si="4"/>
        <v>2290</v>
      </c>
      <c r="O12" s="81">
        <f t="shared" si="4"/>
        <v>0</v>
      </c>
      <c r="P12" s="81">
        <f t="shared" si="4"/>
        <v>0</v>
      </c>
      <c r="Q12" s="82">
        <f>SUM(K12:P12)</f>
        <v>11668</v>
      </c>
    </row>
    <row r="13" spans="1:17" x14ac:dyDescent="0.2">
      <c r="A13" s="38" t="s">
        <v>7</v>
      </c>
      <c r="B13" s="25">
        <f t="shared" si="0"/>
        <v>1322591</v>
      </c>
      <c r="C13" s="7"/>
      <c r="D13" s="7">
        <v>0</v>
      </c>
      <c r="E13" s="7">
        <v>0</v>
      </c>
      <c r="F13" s="7">
        <v>62080</v>
      </c>
      <c r="G13" s="7"/>
      <c r="H13" s="6">
        <v>1260511</v>
      </c>
    </row>
    <row r="14" spans="1:17" x14ac:dyDescent="0.2">
      <c r="A14" s="38" t="s">
        <v>8</v>
      </c>
      <c r="B14" s="2">
        <f t="shared" si="0"/>
        <v>97657</v>
      </c>
      <c r="C14" s="7"/>
      <c r="D14" s="7">
        <v>0</v>
      </c>
      <c r="E14" s="7">
        <v>0</v>
      </c>
      <c r="F14" s="7">
        <v>0</v>
      </c>
      <c r="G14" s="7"/>
      <c r="H14" s="6">
        <v>97657</v>
      </c>
      <c r="Q14" s="32"/>
    </row>
    <row r="15" spans="1:17" x14ac:dyDescent="0.2">
      <c r="A15" s="38" t="s">
        <v>18</v>
      </c>
      <c r="B15" s="2">
        <f t="shared" si="0"/>
        <v>104893</v>
      </c>
      <c r="C15" s="7">
        <v>104893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60363014</v>
      </c>
      <c r="C16" s="59">
        <f t="shared" ref="C16:H16" si="5">C17+C18+C19+C20</f>
        <v>1825101</v>
      </c>
      <c r="D16" s="59">
        <f t="shared" si="5"/>
        <v>10040452</v>
      </c>
      <c r="E16" s="59">
        <f t="shared" si="5"/>
        <v>3186953</v>
      </c>
      <c r="F16" s="59">
        <f t="shared" si="5"/>
        <v>37027373</v>
      </c>
      <c r="G16" s="59">
        <f t="shared" si="5"/>
        <v>69752</v>
      </c>
      <c r="H16" s="35">
        <f t="shared" si="5"/>
        <v>8213383</v>
      </c>
    </row>
    <row r="17" spans="1:10" x14ac:dyDescent="0.2">
      <c r="A17" s="38" t="s">
        <v>17</v>
      </c>
      <c r="B17" s="2">
        <f t="shared" si="0"/>
        <v>57848104</v>
      </c>
      <c r="C17" s="7"/>
      <c r="D17" s="7">
        <v>10040452</v>
      </c>
      <c r="E17" s="7">
        <v>3175150</v>
      </c>
      <c r="F17" s="7">
        <v>36717407</v>
      </c>
      <c r="G17" s="7">
        <v>69752</v>
      </c>
      <c r="H17" s="6">
        <f>7857011-11668</f>
        <v>7845343</v>
      </c>
    </row>
    <row r="18" spans="1:10" x14ac:dyDescent="0.2">
      <c r="A18" s="38" t="s">
        <v>7</v>
      </c>
      <c r="B18" s="25">
        <f t="shared" si="0"/>
        <v>637181</v>
      </c>
      <c r="C18" s="7"/>
      <c r="D18" s="7">
        <v>0</v>
      </c>
      <c r="E18" s="7">
        <v>11803</v>
      </c>
      <c r="F18" s="7">
        <v>286997</v>
      </c>
      <c r="G18" s="7">
        <v>0</v>
      </c>
      <c r="H18" s="6">
        <v>338381</v>
      </c>
    </row>
    <row r="19" spans="1:10" x14ac:dyDescent="0.2">
      <c r="A19" s="38" t="s">
        <v>8</v>
      </c>
      <c r="B19" s="2">
        <f t="shared" si="0"/>
        <v>52628</v>
      </c>
      <c r="C19" s="7"/>
      <c r="D19" s="7">
        <v>0</v>
      </c>
      <c r="E19" s="7">
        <v>0</v>
      </c>
      <c r="F19" s="7">
        <v>22969</v>
      </c>
      <c r="G19" s="7">
        <v>0</v>
      </c>
      <c r="H19" s="6">
        <v>29659</v>
      </c>
    </row>
    <row r="20" spans="1:10" ht="19.5" customHeight="1" x14ac:dyDescent="0.2">
      <c r="A20" s="38" t="s">
        <v>18</v>
      </c>
      <c r="B20" s="2">
        <f t="shared" si="0"/>
        <v>1825101</v>
      </c>
      <c r="C20" s="7">
        <v>1825101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102979517</v>
      </c>
      <c r="C21" s="59">
        <f>C6+C11+C16</f>
        <v>1947443</v>
      </c>
      <c r="D21" s="59">
        <f t="shared" ref="D21:H21" si="6">D6+D11+D16</f>
        <v>10655012</v>
      </c>
      <c r="E21" s="59">
        <f t="shared" si="6"/>
        <v>3578955</v>
      </c>
      <c r="F21" s="59">
        <f t="shared" si="6"/>
        <v>41300234</v>
      </c>
      <c r="G21" s="59">
        <f t="shared" si="6"/>
        <v>69752</v>
      </c>
      <c r="H21" s="35">
        <f t="shared" si="6"/>
        <v>45428121</v>
      </c>
      <c r="J21" s="91">
        <v>102991185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-11668</v>
      </c>
    </row>
    <row r="23" spans="1:10" ht="14.25" customHeight="1" thickBot="1" x14ac:dyDescent="0.25">
      <c r="A23" s="40" t="s">
        <v>14</v>
      </c>
      <c r="B23" s="45">
        <v>6702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10" ht="24.75" customHeight="1" x14ac:dyDescent="0.2">
      <c r="A25" s="47" t="s">
        <v>28</v>
      </c>
      <c r="B25" s="50">
        <f>B27+B28+B29+B26</f>
        <v>8.5470000000000006</v>
      </c>
      <c r="C25" s="26">
        <f>C26</f>
        <v>2.35</v>
      </c>
      <c r="D25" s="26">
        <f t="shared" ref="D25:H25" si="7">D27+D28+D29+D26</f>
        <v>0.215</v>
      </c>
      <c r="E25" s="26">
        <f>E27+E28+E29+E26</f>
        <v>3.0000000000000001E-3</v>
      </c>
      <c r="F25" s="26">
        <f t="shared" si="7"/>
        <v>5.5280000000000005</v>
      </c>
      <c r="G25" s="26">
        <f t="shared" si="7"/>
        <v>2.1000000000000001E-2</v>
      </c>
      <c r="H25" s="27">
        <f t="shared" si="7"/>
        <v>0.43</v>
      </c>
    </row>
    <row r="26" spans="1:10" x14ac:dyDescent="0.2">
      <c r="A26" s="48" t="s">
        <v>18</v>
      </c>
      <c r="B26" s="68">
        <f>SUM(C26:H26)</f>
        <v>2.35</v>
      </c>
      <c r="C26" s="28">
        <v>2.35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6.1749999999999998</v>
      </c>
      <c r="C27" s="28"/>
      <c r="D27" s="30">
        <v>0.215</v>
      </c>
      <c r="E27" s="30">
        <v>3.0000000000000001E-3</v>
      </c>
      <c r="F27" s="30">
        <v>5.5190000000000001</v>
      </c>
      <c r="G27" s="30">
        <v>2.1000000000000001E-2</v>
      </c>
      <c r="H27" s="31">
        <v>0.41699999999999998</v>
      </c>
    </row>
    <row r="28" spans="1:10" x14ac:dyDescent="0.2">
      <c r="A28" s="38" t="s">
        <v>7</v>
      </c>
      <c r="B28" s="51">
        <f t="shared" ref="B28:B29" si="8">SUM(C28:H28)</f>
        <v>2.1999999999999999E-2</v>
      </c>
      <c r="C28" s="30"/>
      <c r="D28" s="30"/>
      <c r="E28" s="30"/>
      <c r="F28" s="30">
        <v>8.9999999999999993E-3</v>
      </c>
      <c r="G28" s="30"/>
      <c r="H28" s="31">
        <v>1.2999999999999999E-2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12928287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11210766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336667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1194856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38386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63075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84537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118B-8BE7-42D6-8DFA-A79AC0DE6B20}">
  <sheetPr>
    <tabColor rgb="FFFFFFCC"/>
  </sheetPr>
  <dimension ref="A1:T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.285156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hidden="1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44378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3310874</v>
      </c>
      <c r="C6" s="83">
        <f>C7+C8+C9+C10</f>
        <v>21908</v>
      </c>
      <c r="D6" s="83">
        <f t="shared" ref="D6:F6" si="1">D7+D8+D9+D10</f>
        <v>62827</v>
      </c>
      <c r="E6" s="83">
        <f t="shared" si="1"/>
        <v>252115</v>
      </c>
      <c r="F6" s="83">
        <f t="shared" si="1"/>
        <v>1572376</v>
      </c>
      <c r="G6" s="83">
        <f>G7+G8+G9+G10</f>
        <v>0</v>
      </c>
      <c r="H6" s="90">
        <f>H7+H8+H9+H10</f>
        <v>1401648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17</v>
      </c>
      <c r="B7" s="2">
        <f>D7+E7+F7+G7+H7+C7</f>
        <v>3226842</v>
      </c>
      <c r="C7" s="7"/>
      <c r="D7" s="7">
        <v>62827</v>
      </c>
      <c r="E7" s="7">
        <v>252115</v>
      </c>
      <c r="F7" s="7">
        <v>1569668</v>
      </c>
      <c r="G7" s="7"/>
      <c r="H7" s="6">
        <v>1342232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60425</v>
      </c>
      <c r="C8" s="7"/>
      <c r="D8" s="7"/>
      <c r="E8" s="7">
        <v>0</v>
      </c>
      <c r="F8" s="7">
        <v>2708</v>
      </c>
      <c r="G8" s="7"/>
      <c r="H8" s="6">
        <v>57717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1699</v>
      </c>
      <c r="C9" s="7"/>
      <c r="D9" s="7"/>
      <c r="E9" s="7">
        <v>0</v>
      </c>
      <c r="F9" s="7">
        <v>0</v>
      </c>
      <c r="G9" s="7"/>
      <c r="H9" s="6">
        <v>1699</v>
      </c>
      <c r="J9" s="74" t="s">
        <v>41</v>
      </c>
      <c r="K9" s="75"/>
      <c r="L9" s="75">
        <v>0</v>
      </c>
      <c r="M9" s="75">
        <v>9684</v>
      </c>
      <c r="N9" s="75">
        <v>3876</v>
      </c>
      <c r="O9" s="75"/>
      <c r="P9" s="75"/>
      <c r="Q9" s="76">
        <v>13560</v>
      </c>
    </row>
    <row r="10" spans="1:18" ht="14.25" x14ac:dyDescent="0.2">
      <c r="A10" s="38" t="s">
        <v>18</v>
      </c>
      <c r="B10" s="2">
        <f t="shared" si="0"/>
        <v>21908</v>
      </c>
      <c r="C10" s="7">
        <v>21908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9684</v>
      </c>
      <c r="N10" s="77">
        <v>3876</v>
      </c>
      <c r="O10" s="77">
        <v>0</v>
      </c>
      <c r="P10" s="77">
        <v>0</v>
      </c>
      <c r="Q10" s="77">
        <v>13560</v>
      </c>
    </row>
    <row r="11" spans="1:18" ht="15" x14ac:dyDescent="0.25">
      <c r="A11" s="39" t="s">
        <v>9</v>
      </c>
      <c r="B11" s="67">
        <f>D11+E11+F11+G11+H11+C11</f>
        <v>32810588</v>
      </c>
      <c r="C11" s="59">
        <f>C12+C13+C14+C15</f>
        <v>119185</v>
      </c>
      <c r="D11" s="59">
        <f t="shared" ref="D11:G11" si="2">D12+D13+D14+D15</f>
        <v>622488</v>
      </c>
      <c r="E11" s="59">
        <f t="shared" si="2"/>
        <v>113622</v>
      </c>
      <c r="F11" s="59">
        <f t="shared" si="2"/>
        <v>2811324</v>
      </c>
      <c r="G11" s="59">
        <f t="shared" si="2"/>
        <v>0</v>
      </c>
      <c r="H11" s="35">
        <f>H12+H13+H14+H15</f>
        <v>29143969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17</v>
      </c>
      <c r="B12" s="2">
        <f>D12+E12+F12+G12+H12+C12</f>
        <v>31294620</v>
      </c>
      <c r="C12" s="7"/>
      <c r="D12" s="7">
        <v>622488</v>
      </c>
      <c r="E12" s="7">
        <v>113622</v>
      </c>
      <c r="F12" s="7">
        <v>2760501</v>
      </c>
      <c r="G12" s="7"/>
      <c r="H12" s="6">
        <v>27798009</v>
      </c>
      <c r="J12" s="80" t="s">
        <v>39</v>
      </c>
      <c r="K12" s="81">
        <v>0</v>
      </c>
      <c r="L12" s="81">
        <v>0</v>
      </c>
      <c r="M12" s="81">
        <v>9684</v>
      </c>
      <c r="N12" s="81">
        <v>3876</v>
      </c>
      <c r="O12" s="81">
        <v>0</v>
      </c>
      <c r="P12" s="81">
        <v>0</v>
      </c>
      <c r="Q12" s="82">
        <v>13560</v>
      </c>
    </row>
    <row r="13" spans="1:18" x14ac:dyDescent="0.2">
      <c r="A13" s="38" t="s">
        <v>7</v>
      </c>
      <c r="B13" s="25">
        <f t="shared" si="0"/>
        <v>1311195</v>
      </c>
      <c r="C13" s="7"/>
      <c r="D13" s="7">
        <v>0</v>
      </c>
      <c r="E13" s="7">
        <v>0</v>
      </c>
      <c r="F13" s="7">
        <v>50823</v>
      </c>
      <c r="G13" s="7"/>
      <c r="H13" s="6">
        <v>1260372</v>
      </c>
      <c r="Q13" s="91">
        <v>13560</v>
      </c>
      <c r="R13" s="105" t="s">
        <v>43</v>
      </c>
    </row>
    <row r="14" spans="1:18" x14ac:dyDescent="0.2">
      <c r="A14" s="38" t="s">
        <v>8</v>
      </c>
      <c r="B14" s="2">
        <f t="shared" si="0"/>
        <v>85588</v>
      </c>
      <c r="C14" s="7"/>
      <c r="D14" s="7">
        <v>0</v>
      </c>
      <c r="E14" s="7">
        <v>0</v>
      </c>
      <c r="F14" s="7">
        <v>0</v>
      </c>
      <c r="G14" s="7"/>
      <c r="H14" s="6">
        <v>85588</v>
      </c>
      <c r="Q14" s="32"/>
    </row>
    <row r="15" spans="1:18" x14ac:dyDescent="0.2">
      <c r="A15" s="38" t="s">
        <v>18</v>
      </c>
      <c r="B15" s="2">
        <f t="shared" si="0"/>
        <v>119185</v>
      </c>
      <c r="C15" s="7">
        <v>119185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63663082</v>
      </c>
      <c r="C16" s="59">
        <f t="shared" ref="C16:H16" si="3">C17+C18+C19+C20</f>
        <v>1979860</v>
      </c>
      <c r="D16" s="59">
        <f t="shared" si="3"/>
        <v>9322771</v>
      </c>
      <c r="E16" s="59">
        <f t="shared" si="3"/>
        <v>3319656</v>
      </c>
      <c r="F16" s="59">
        <f t="shared" si="3"/>
        <v>39586598</v>
      </c>
      <c r="G16" s="59">
        <f t="shared" si="3"/>
        <v>76954</v>
      </c>
      <c r="H16" s="35">
        <f t="shared" si="3"/>
        <v>9377243</v>
      </c>
    </row>
    <row r="17" spans="1:20" x14ac:dyDescent="0.2">
      <c r="A17" s="38" t="s">
        <v>17</v>
      </c>
      <c r="B17" s="2">
        <f t="shared" si="0"/>
        <v>60987204</v>
      </c>
      <c r="C17" s="7"/>
      <c r="D17" s="7">
        <v>9322771</v>
      </c>
      <c r="E17" s="7">
        <v>3307371</v>
      </c>
      <c r="F17" s="7">
        <v>39261552</v>
      </c>
      <c r="G17" s="7">
        <v>76954</v>
      </c>
      <c r="H17" s="6">
        <f>9032116-13560</f>
        <v>9018556</v>
      </c>
    </row>
    <row r="18" spans="1:20" x14ac:dyDescent="0.2">
      <c r="A18" s="38" t="s">
        <v>7</v>
      </c>
      <c r="B18" s="25">
        <f t="shared" si="0"/>
        <v>643942</v>
      </c>
      <c r="C18" s="7"/>
      <c r="D18" s="7">
        <v>0</v>
      </c>
      <c r="E18" s="7">
        <v>12285</v>
      </c>
      <c r="F18" s="7">
        <v>301707</v>
      </c>
      <c r="G18" s="7">
        <v>0</v>
      </c>
      <c r="H18" s="6">
        <v>329950</v>
      </c>
    </row>
    <row r="19" spans="1:20" x14ac:dyDescent="0.2">
      <c r="A19" s="38" t="s">
        <v>8</v>
      </c>
      <c r="B19" s="2">
        <f t="shared" si="0"/>
        <v>52076</v>
      </c>
      <c r="C19" s="7"/>
      <c r="D19" s="7">
        <v>0</v>
      </c>
      <c r="E19" s="7">
        <v>0</v>
      </c>
      <c r="F19" s="7">
        <v>23339</v>
      </c>
      <c r="G19" s="7">
        <v>0</v>
      </c>
      <c r="H19" s="6">
        <v>28737</v>
      </c>
    </row>
    <row r="20" spans="1:20" ht="19.5" customHeight="1" x14ac:dyDescent="0.2">
      <c r="A20" s="38" t="s">
        <v>18</v>
      </c>
      <c r="B20" s="2">
        <f t="shared" si="0"/>
        <v>1979860</v>
      </c>
      <c r="C20" s="7">
        <v>1979860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99784544</v>
      </c>
      <c r="C21" s="59">
        <f>C6+C11+C16</f>
        <v>2120953</v>
      </c>
      <c r="D21" s="59">
        <f t="shared" ref="D21:H21" si="4">D6+D11+D16</f>
        <v>10008086</v>
      </c>
      <c r="E21" s="59">
        <f t="shared" si="4"/>
        <v>3685393</v>
      </c>
      <c r="F21" s="59">
        <f t="shared" si="4"/>
        <v>43970298</v>
      </c>
      <c r="G21" s="59">
        <f t="shared" si="4"/>
        <v>76954</v>
      </c>
      <c r="H21" s="35">
        <f t="shared" si="4"/>
        <v>39922860</v>
      </c>
      <c r="J21" s="91">
        <v>99798104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-13560</v>
      </c>
      <c r="T22" s="32"/>
    </row>
    <row r="23" spans="1:20" ht="14.25" customHeight="1" thickBot="1" x14ac:dyDescent="0.25">
      <c r="A23" s="40" t="s">
        <v>14</v>
      </c>
      <c r="B23" s="45">
        <v>7858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20" ht="24.75" customHeight="1" x14ac:dyDescent="0.2">
      <c r="A25" s="47" t="s">
        <v>28</v>
      </c>
      <c r="B25" s="50">
        <f>B27+B28+B29+B26</f>
        <v>8.6209999999999987</v>
      </c>
      <c r="C25" s="26">
        <f>C26</f>
        <v>2.3849999999999998</v>
      </c>
      <c r="D25" s="26">
        <f t="shared" ref="D25:H25" si="5">D27+D28+D29+D26</f>
        <v>0.20699999999999999</v>
      </c>
      <c r="E25" s="26">
        <f>E27+E28+E29+E26</f>
        <v>3.0000000000000001E-3</v>
      </c>
      <c r="F25" s="26">
        <f t="shared" si="5"/>
        <v>5.6239999999999997</v>
      </c>
      <c r="G25" s="26">
        <f t="shared" si="5"/>
        <v>2.1000000000000001E-2</v>
      </c>
      <c r="H25" s="27">
        <f t="shared" si="5"/>
        <v>0.38100000000000001</v>
      </c>
    </row>
    <row r="26" spans="1:20" x14ac:dyDescent="0.2">
      <c r="A26" s="48" t="s">
        <v>18</v>
      </c>
      <c r="B26" s="68">
        <f>SUM(C26:H26)</f>
        <v>2.3849999999999998</v>
      </c>
      <c r="C26" s="28">
        <v>2.3849999999999998</v>
      </c>
      <c r="D26" s="28"/>
      <c r="E26" s="28"/>
      <c r="F26" s="28"/>
      <c r="G26" s="28"/>
      <c r="H26" s="29"/>
    </row>
    <row r="27" spans="1:20" ht="13.5" customHeight="1" x14ac:dyDescent="0.2">
      <c r="A27" s="38" t="s">
        <v>17</v>
      </c>
      <c r="B27" s="68">
        <f>SUM(C27:H27)</f>
        <v>6.2130000000000001</v>
      </c>
      <c r="C27" s="28"/>
      <c r="D27" s="30">
        <v>0.20699999999999999</v>
      </c>
      <c r="E27" s="30">
        <v>3.0000000000000001E-3</v>
      </c>
      <c r="F27" s="30">
        <v>5.6139999999999999</v>
      </c>
      <c r="G27" s="30">
        <v>2.1000000000000001E-2</v>
      </c>
      <c r="H27" s="31">
        <v>0.36799999999999999</v>
      </c>
    </row>
    <row r="28" spans="1:20" x14ac:dyDescent="0.2">
      <c r="A28" s="38" t="s">
        <v>7</v>
      </c>
      <c r="B28" s="51">
        <f t="shared" ref="B28:B29" si="6">SUM(C28:H28)</f>
        <v>2.3E-2</v>
      </c>
      <c r="C28" s="30"/>
      <c r="D28" s="30"/>
      <c r="E28" s="30"/>
      <c r="F28" s="30">
        <v>0.01</v>
      </c>
      <c r="G28" s="30"/>
      <c r="H28" s="31">
        <v>1.2999999999999999E-2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22980410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85" t="s">
        <v>19</v>
      </c>
      <c r="B32" s="102">
        <v>21165744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327121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1135106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69793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88139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194507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72">
        <v>43862</v>
      </c>
      <c r="B3" s="372"/>
      <c r="C3" s="372"/>
      <c r="D3" s="372"/>
      <c r="E3" s="372"/>
      <c r="F3" s="372"/>
      <c r="G3" s="372"/>
      <c r="H3" s="372"/>
    </row>
    <row r="4" spans="1:8" ht="12.75" customHeight="1" x14ac:dyDescent="0.2">
      <c r="A4" s="373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7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7144275</v>
      </c>
      <c r="C6" s="24">
        <v>15413</v>
      </c>
      <c r="D6" s="24">
        <v>76468</v>
      </c>
      <c r="E6" s="24">
        <v>475390</v>
      </c>
      <c r="F6" s="24">
        <v>2651588</v>
      </c>
      <c r="G6" s="24">
        <v>0</v>
      </c>
      <c r="H6" s="34">
        <v>3925416</v>
      </c>
    </row>
    <row r="7" spans="1:8" x14ac:dyDescent="0.2">
      <c r="A7" s="38" t="s">
        <v>17</v>
      </c>
      <c r="B7" s="42">
        <v>7009201</v>
      </c>
      <c r="C7" s="4"/>
      <c r="D7" s="4">
        <v>76468</v>
      </c>
      <c r="E7" s="4">
        <v>475390</v>
      </c>
      <c r="F7" s="4">
        <v>2647423</v>
      </c>
      <c r="G7" s="4"/>
      <c r="H7" s="8">
        <v>3809920</v>
      </c>
    </row>
    <row r="8" spans="1:8" x14ac:dyDescent="0.2">
      <c r="A8" s="38" t="s">
        <v>7</v>
      </c>
      <c r="B8" s="42">
        <v>116111</v>
      </c>
      <c r="C8" s="4"/>
      <c r="D8" s="4"/>
      <c r="E8" s="4"/>
      <c r="F8" s="4">
        <v>4165</v>
      </c>
      <c r="G8" s="4"/>
      <c r="H8" s="8">
        <v>111946</v>
      </c>
    </row>
    <row r="9" spans="1:8" x14ac:dyDescent="0.2">
      <c r="A9" s="38" t="s">
        <v>8</v>
      </c>
      <c r="B9" s="42">
        <v>3550</v>
      </c>
      <c r="C9" s="4"/>
      <c r="D9" s="4"/>
      <c r="E9" s="4"/>
      <c r="F9" s="4"/>
      <c r="G9" s="4"/>
      <c r="H9" s="8">
        <v>3550</v>
      </c>
    </row>
    <row r="10" spans="1:8" x14ac:dyDescent="0.2">
      <c r="A10" s="38" t="s">
        <v>18</v>
      </c>
      <c r="B10" s="42">
        <v>15413</v>
      </c>
      <c r="C10" s="4">
        <v>15413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35947068</v>
      </c>
      <c r="C11" s="5">
        <v>109185</v>
      </c>
      <c r="D11" s="5">
        <v>574286</v>
      </c>
      <c r="E11" s="5">
        <v>112212</v>
      </c>
      <c r="F11" s="5">
        <v>2077766</v>
      </c>
      <c r="G11" s="5">
        <v>16000</v>
      </c>
      <c r="H11" s="35">
        <v>33057619</v>
      </c>
    </row>
    <row r="12" spans="1:8" x14ac:dyDescent="0.2">
      <c r="A12" s="38" t="s">
        <v>17</v>
      </c>
      <c r="B12" s="42">
        <v>34264932</v>
      </c>
      <c r="C12" s="4"/>
      <c r="D12" s="4">
        <v>574286</v>
      </c>
      <c r="E12" s="4">
        <v>112212</v>
      </c>
      <c r="F12" s="4">
        <v>2058288</v>
      </c>
      <c r="G12" s="4">
        <v>16000</v>
      </c>
      <c r="H12" s="6">
        <v>31504146</v>
      </c>
    </row>
    <row r="13" spans="1:8" x14ac:dyDescent="0.2">
      <c r="A13" s="38" t="s">
        <v>7</v>
      </c>
      <c r="B13" s="42">
        <v>1478058</v>
      </c>
      <c r="C13" s="7"/>
      <c r="D13" s="7"/>
      <c r="E13" s="7"/>
      <c r="F13" s="7">
        <v>19478</v>
      </c>
      <c r="G13" s="7"/>
      <c r="H13" s="6">
        <v>1458580</v>
      </c>
    </row>
    <row r="14" spans="1:8" x14ac:dyDescent="0.2">
      <c r="A14" s="38" t="s">
        <v>8</v>
      </c>
      <c r="B14" s="42">
        <v>94893</v>
      </c>
      <c r="C14" s="4"/>
      <c r="D14" s="4"/>
      <c r="E14" s="4"/>
      <c r="F14" s="4"/>
      <c r="G14" s="4"/>
      <c r="H14" s="6">
        <v>94893</v>
      </c>
    </row>
    <row r="15" spans="1:8" x14ac:dyDescent="0.2">
      <c r="A15" s="38" t="s">
        <v>18</v>
      </c>
      <c r="B15" s="42">
        <v>109185</v>
      </c>
      <c r="C15" s="4">
        <v>109185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72658889</v>
      </c>
      <c r="C16" s="5">
        <v>3703110</v>
      </c>
      <c r="D16" s="5">
        <v>13701471</v>
      </c>
      <c r="E16" s="5">
        <v>4928268</v>
      </c>
      <c r="F16" s="5">
        <v>40758431</v>
      </c>
      <c r="G16" s="5">
        <v>54264</v>
      </c>
      <c r="H16" s="35">
        <v>9513345</v>
      </c>
    </row>
    <row r="17" spans="1:8" x14ac:dyDescent="0.2">
      <c r="A17" s="38" t="s">
        <v>17</v>
      </c>
      <c r="B17" s="2">
        <v>68128285</v>
      </c>
      <c r="C17" s="4"/>
      <c r="D17" s="4">
        <v>13701471</v>
      </c>
      <c r="E17" s="4">
        <v>4920098</v>
      </c>
      <c r="F17" s="4">
        <v>40411307</v>
      </c>
      <c r="G17" s="4">
        <v>54264</v>
      </c>
      <c r="H17" s="6">
        <v>9041145</v>
      </c>
    </row>
    <row r="18" spans="1:8" x14ac:dyDescent="0.2">
      <c r="A18" s="38" t="s">
        <v>7</v>
      </c>
      <c r="B18" s="25">
        <v>744597</v>
      </c>
      <c r="C18" s="7"/>
      <c r="D18" s="7"/>
      <c r="E18" s="7">
        <v>8170</v>
      </c>
      <c r="F18" s="7">
        <v>291831</v>
      </c>
      <c r="G18" s="7"/>
      <c r="H18" s="6">
        <v>444596</v>
      </c>
    </row>
    <row r="19" spans="1:8" x14ac:dyDescent="0.2">
      <c r="A19" s="38" t="s">
        <v>8</v>
      </c>
      <c r="B19" s="2">
        <v>82897</v>
      </c>
      <c r="C19" s="4"/>
      <c r="D19" s="4"/>
      <c r="E19" s="4"/>
      <c r="F19" s="4">
        <v>55293</v>
      </c>
      <c r="G19" s="4"/>
      <c r="H19" s="8">
        <v>27604</v>
      </c>
    </row>
    <row r="20" spans="1:8" ht="19.5" customHeight="1" x14ac:dyDescent="0.2">
      <c r="A20" s="38" t="s">
        <v>18</v>
      </c>
      <c r="B20" s="2">
        <v>3703110</v>
      </c>
      <c r="C20" s="4">
        <v>3703110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115750232</v>
      </c>
      <c r="C21" s="9">
        <v>3827708</v>
      </c>
      <c r="D21" s="9">
        <v>14352225</v>
      </c>
      <c r="E21" s="9">
        <v>5515870</v>
      </c>
      <c r="F21" s="9">
        <v>45487785</v>
      </c>
      <c r="G21" s="9">
        <v>70264</v>
      </c>
      <c r="H21" s="36">
        <v>46496380</v>
      </c>
    </row>
    <row r="22" spans="1:8" ht="15.75" customHeight="1" x14ac:dyDescent="0.2">
      <c r="A22" s="39" t="s">
        <v>21</v>
      </c>
      <c r="B22" s="43">
        <v>96325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9967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67" t="s">
        <v>13</v>
      </c>
      <c r="C24" s="368"/>
      <c r="D24" s="368"/>
      <c r="E24" s="368"/>
      <c r="F24" s="368"/>
      <c r="G24" s="368"/>
      <c r="H24" s="369"/>
    </row>
    <row r="25" spans="1:8" ht="24.75" customHeight="1" x14ac:dyDescent="0.2">
      <c r="A25" s="47" t="s">
        <v>28</v>
      </c>
      <c r="B25" s="50">
        <v>11.715</v>
      </c>
      <c r="C25" s="26">
        <v>4.0579999999999998</v>
      </c>
      <c r="D25" s="26">
        <v>0.251</v>
      </c>
      <c r="E25" s="26">
        <v>6.0000000000000001E-3</v>
      </c>
      <c r="F25" s="26">
        <v>6.3500000000000005</v>
      </c>
      <c r="G25" s="26">
        <v>0.01</v>
      </c>
      <c r="H25" s="27">
        <v>1.04</v>
      </c>
    </row>
    <row r="26" spans="1:8" x14ac:dyDescent="0.2">
      <c r="A26" s="48" t="s">
        <v>18</v>
      </c>
      <c r="B26" s="51">
        <v>4.0579999999999998</v>
      </c>
      <c r="C26" s="28">
        <v>4.0579999999999998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7.6349999999999998</v>
      </c>
      <c r="C27" s="28"/>
      <c r="D27" s="28">
        <v>0.251</v>
      </c>
      <c r="E27" s="28">
        <v>6.0000000000000001E-3</v>
      </c>
      <c r="F27" s="28">
        <v>6.3440000000000003</v>
      </c>
      <c r="G27" s="28">
        <v>0.01</v>
      </c>
      <c r="H27" s="29">
        <v>1.024</v>
      </c>
    </row>
    <row r="28" spans="1:8" x14ac:dyDescent="0.2">
      <c r="A28" s="38" t="s">
        <v>7</v>
      </c>
      <c r="B28" s="51">
        <v>2.1999999999999999E-2</v>
      </c>
      <c r="C28" s="30"/>
      <c r="D28" s="30"/>
      <c r="E28" s="30"/>
      <c r="F28" s="30">
        <v>6.0000000000000001E-3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21484191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19818478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380958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1142540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63687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78528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EA0F-0F81-43AF-98BA-A603731227C7}">
  <sheetPr>
    <tabColor rgb="FFFFFFCC"/>
  </sheetPr>
  <dimension ref="A1:T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44409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3388722</v>
      </c>
      <c r="C6" s="83">
        <f>C7+C8+C9+C10</f>
        <v>18715</v>
      </c>
      <c r="D6" s="83">
        <f t="shared" ref="D6:F6" si="1">D7+D8+D9+D10</f>
        <v>60522</v>
      </c>
      <c r="E6" s="83">
        <f t="shared" si="1"/>
        <v>275112</v>
      </c>
      <c r="F6" s="83">
        <f t="shared" si="1"/>
        <v>1569183</v>
      </c>
      <c r="G6" s="83">
        <f>G7+G8+G9+G10</f>
        <v>0</v>
      </c>
      <c r="H6" s="90">
        <f>H7+H8+H9+H10</f>
        <v>1465190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3314550</v>
      </c>
      <c r="C7" s="7"/>
      <c r="D7" s="7">
        <v>60522</v>
      </c>
      <c r="E7" s="7">
        <v>275112</v>
      </c>
      <c r="F7" s="7">
        <v>1566085</v>
      </c>
      <c r="G7" s="7"/>
      <c r="H7" s="6">
        <v>1412831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51919</v>
      </c>
      <c r="C8" s="7"/>
      <c r="D8" s="7"/>
      <c r="E8" s="7">
        <v>0</v>
      </c>
      <c r="F8" s="7">
        <v>3098</v>
      </c>
      <c r="G8" s="7"/>
      <c r="H8" s="6">
        <v>48821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3538</v>
      </c>
      <c r="C9" s="7"/>
      <c r="D9" s="7"/>
      <c r="E9" s="7">
        <v>0</v>
      </c>
      <c r="F9" s="7">
        <v>0</v>
      </c>
      <c r="G9" s="7"/>
      <c r="H9" s="6">
        <v>3538</v>
      </c>
      <c r="J9" s="74" t="s">
        <v>41</v>
      </c>
      <c r="K9" s="75"/>
      <c r="L9" s="75">
        <v>0</v>
      </c>
      <c r="M9" s="75">
        <v>9948</v>
      </c>
      <c r="N9" s="75">
        <v>2821</v>
      </c>
      <c r="O9" s="75"/>
      <c r="P9" s="75"/>
      <c r="Q9" s="76">
        <v>12769</v>
      </c>
    </row>
    <row r="10" spans="1:18" ht="14.25" x14ac:dyDescent="0.2">
      <c r="A10" s="38" t="s">
        <v>18</v>
      </c>
      <c r="B10" s="2">
        <f t="shared" si="0"/>
        <v>18715</v>
      </c>
      <c r="C10" s="7">
        <v>18715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9948</v>
      </c>
      <c r="N10" s="77">
        <v>2821</v>
      </c>
      <c r="O10" s="77">
        <v>0</v>
      </c>
      <c r="P10" s="77">
        <v>0</v>
      </c>
      <c r="Q10" s="77">
        <v>12769</v>
      </c>
    </row>
    <row r="11" spans="1:18" ht="15" x14ac:dyDescent="0.25">
      <c r="A11" s="39" t="s">
        <v>9</v>
      </c>
      <c r="B11" s="67">
        <f>D11+E11+F11+G11+H11+C11</f>
        <v>34151666</v>
      </c>
      <c r="C11" s="59">
        <f>C12+C13+C14+C15</f>
        <v>124618</v>
      </c>
      <c r="D11" s="59">
        <f t="shared" ref="D11:G11" si="2">D12+D13+D14+D15</f>
        <v>657426</v>
      </c>
      <c r="E11" s="59">
        <f t="shared" si="2"/>
        <v>95594</v>
      </c>
      <c r="F11" s="59">
        <f t="shared" si="2"/>
        <v>2758743</v>
      </c>
      <c r="G11" s="59">
        <f t="shared" si="2"/>
        <v>0</v>
      </c>
      <c r="H11" s="35">
        <f>H12+H13+H14+H15</f>
        <v>30515285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44</v>
      </c>
      <c r="B12" s="2">
        <f>D12+E12+F12+G12+H12+C12</f>
        <v>32613913</v>
      </c>
      <c r="C12" s="7"/>
      <c r="D12" s="7">
        <v>657426</v>
      </c>
      <c r="E12" s="7">
        <v>95594</v>
      </c>
      <c r="F12" s="7">
        <v>2705514</v>
      </c>
      <c r="G12" s="7"/>
      <c r="H12" s="6">
        <v>29155379</v>
      </c>
      <c r="J12" s="80" t="s">
        <v>39</v>
      </c>
      <c r="K12" s="81">
        <v>0</v>
      </c>
      <c r="L12" s="81">
        <v>0</v>
      </c>
      <c r="M12" s="81">
        <v>9948</v>
      </c>
      <c r="N12" s="81">
        <v>2821</v>
      </c>
      <c r="O12" s="81">
        <v>0</v>
      </c>
      <c r="P12" s="81">
        <v>0</v>
      </c>
      <c r="Q12" s="82">
        <v>12769</v>
      </c>
    </row>
    <row r="13" spans="1:18" x14ac:dyDescent="0.2">
      <c r="A13" s="38" t="s">
        <v>7</v>
      </c>
      <c r="B13" s="25">
        <f t="shared" si="0"/>
        <v>1317397</v>
      </c>
      <c r="C13" s="7"/>
      <c r="D13" s="7">
        <v>0</v>
      </c>
      <c r="E13" s="7">
        <v>0</v>
      </c>
      <c r="F13" s="7">
        <v>53229</v>
      </c>
      <c r="G13" s="7"/>
      <c r="H13" s="6">
        <v>1264168</v>
      </c>
      <c r="Q13" s="91"/>
      <c r="R13" s="105"/>
    </row>
    <row r="14" spans="1:18" x14ac:dyDescent="0.2">
      <c r="A14" s="38" t="s">
        <v>8</v>
      </c>
      <c r="B14" s="2">
        <f t="shared" si="0"/>
        <v>95738</v>
      </c>
      <c r="C14" s="7"/>
      <c r="D14" s="7">
        <v>0</v>
      </c>
      <c r="E14" s="7">
        <v>0</v>
      </c>
      <c r="F14" s="7">
        <v>0</v>
      </c>
      <c r="G14" s="7"/>
      <c r="H14" s="6">
        <v>95738</v>
      </c>
      <c r="Q14" s="32"/>
    </row>
    <row r="15" spans="1:18" x14ac:dyDescent="0.2">
      <c r="A15" s="38" t="s">
        <v>18</v>
      </c>
      <c r="B15" s="2">
        <f t="shared" si="0"/>
        <v>124618</v>
      </c>
      <c r="C15" s="7">
        <v>124618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65663599</v>
      </c>
      <c r="C16" s="59">
        <f t="shared" ref="C16:H16" si="3">C17+C18+C19+C20</f>
        <v>1935629</v>
      </c>
      <c r="D16" s="59">
        <f t="shared" si="3"/>
        <v>10411694</v>
      </c>
      <c r="E16" s="59">
        <f t="shared" si="3"/>
        <v>3697467</v>
      </c>
      <c r="F16" s="59">
        <f t="shared" si="3"/>
        <v>40656014</v>
      </c>
      <c r="G16" s="59">
        <f t="shared" si="3"/>
        <v>70337</v>
      </c>
      <c r="H16" s="35">
        <f t="shared" si="3"/>
        <v>8892458</v>
      </c>
    </row>
    <row r="17" spans="1:20" x14ac:dyDescent="0.2">
      <c r="A17" s="38" t="s">
        <v>44</v>
      </c>
      <c r="B17" s="2">
        <f t="shared" si="0"/>
        <v>62935651</v>
      </c>
      <c r="C17" s="7"/>
      <c r="D17" s="7">
        <v>10411694</v>
      </c>
      <c r="E17" s="7">
        <v>3683443</v>
      </c>
      <c r="F17" s="7">
        <v>40244952</v>
      </c>
      <c r="G17" s="7">
        <v>70337</v>
      </c>
      <c r="H17" s="6">
        <f>8537994-12769</f>
        <v>8525225</v>
      </c>
    </row>
    <row r="18" spans="1:20" x14ac:dyDescent="0.2">
      <c r="A18" s="38" t="s">
        <v>7</v>
      </c>
      <c r="B18" s="25">
        <f t="shared" si="0"/>
        <v>696966</v>
      </c>
      <c r="C18" s="7"/>
      <c r="D18" s="7">
        <v>0</v>
      </c>
      <c r="E18" s="7">
        <v>14024</v>
      </c>
      <c r="F18" s="7">
        <v>344808</v>
      </c>
      <c r="G18" s="7">
        <v>0</v>
      </c>
      <c r="H18" s="6">
        <v>338134</v>
      </c>
    </row>
    <row r="19" spans="1:20" x14ac:dyDescent="0.2">
      <c r="A19" s="38" t="s">
        <v>8</v>
      </c>
      <c r="B19" s="2">
        <f t="shared" si="0"/>
        <v>95353</v>
      </c>
      <c r="C19" s="7"/>
      <c r="D19" s="7">
        <v>0</v>
      </c>
      <c r="E19" s="7">
        <v>0</v>
      </c>
      <c r="F19" s="7">
        <v>66254</v>
      </c>
      <c r="G19" s="7">
        <v>0</v>
      </c>
      <c r="H19" s="6">
        <v>29099</v>
      </c>
    </row>
    <row r="20" spans="1:20" ht="19.5" customHeight="1" x14ac:dyDescent="0.2">
      <c r="A20" s="38" t="s">
        <v>18</v>
      </c>
      <c r="B20" s="2">
        <f t="shared" si="0"/>
        <v>1935629</v>
      </c>
      <c r="C20" s="7">
        <v>1935629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103203987</v>
      </c>
      <c r="C21" s="59">
        <f>C6+C11+C16</f>
        <v>2078962</v>
      </c>
      <c r="D21" s="59">
        <f t="shared" ref="D21:H21" si="4">D6+D11+D16</f>
        <v>11129642</v>
      </c>
      <c r="E21" s="59">
        <f t="shared" si="4"/>
        <v>4068173</v>
      </c>
      <c r="F21" s="59">
        <f t="shared" si="4"/>
        <v>44983940</v>
      </c>
      <c r="G21" s="59">
        <f t="shared" si="4"/>
        <v>70337</v>
      </c>
      <c r="H21" s="35">
        <f t="shared" si="4"/>
        <v>40872933</v>
      </c>
      <c r="J21" s="91">
        <v>103216756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-12769</v>
      </c>
      <c r="T22" s="32"/>
    </row>
    <row r="23" spans="1:20" ht="14.25" customHeight="1" thickBot="1" x14ac:dyDescent="0.25">
      <c r="A23" s="40" t="s">
        <v>14</v>
      </c>
      <c r="B23" s="45">
        <v>7476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20" ht="24.75" customHeight="1" x14ac:dyDescent="0.2">
      <c r="A25" s="47" t="s">
        <v>28</v>
      </c>
      <c r="B25" s="50">
        <f>B27+B28+B29+B26</f>
        <v>9.1189999999999998</v>
      </c>
      <c r="C25" s="26">
        <f>C26</f>
        <v>2.3660000000000001</v>
      </c>
      <c r="D25" s="26">
        <f t="shared" ref="D25:H25" si="5">D27+D28+D29+D26</f>
        <v>0.21299999999999999</v>
      </c>
      <c r="E25" s="26">
        <f>E27+E28+E29+E26</f>
        <v>3.0000000000000001E-3</v>
      </c>
      <c r="F25" s="26">
        <f t="shared" si="5"/>
        <v>6.1520000000000001</v>
      </c>
      <c r="G25" s="26">
        <f t="shared" si="5"/>
        <v>0.02</v>
      </c>
      <c r="H25" s="27">
        <f t="shared" si="5"/>
        <v>0.36499999999999999</v>
      </c>
    </row>
    <row r="26" spans="1:20" x14ac:dyDescent="0.2">
      <c r="A26" s="48" t="s">
        <v>18</v>
      </c>
      <c r="B26" s="68">
        <f>SUM(C26:H26)</f>
        <v>2.3660000000000001</v>
      </c>
      <c r="C26" s="28">
        <v>2.3660000000000001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6.7290000000000001</v>
      </c>
      <c r="C27" s="28"/>
      <c r="D27" s="30">
        <v>0.21299999999999999</v>
      </c>
      <c r="E27" s="30">
        <v>3.0000000000000001E-3</v>
      </c>
      <c r="F27" s="30">
        <v>6.1420000000000003</v>
      </c>
      <c r="G27" s="30">
        <v>0.02</v>
      </c>
      <c r="H27" s="31">
        <v>0.35099999999999998</v>
      </c>
    </row>
    <row r="28" spans="1:20" x14ac:dyDescent="0.2">
      <c r="A28" s="38" t="s">
        <v>7</v>
      </c>
      <c r="B28" s="51">
        <f t="shared" ref="B28:B29" si="6">SUM(C28:H28)</f>
        <v>2.4E-2</v>
      </c>
      <c r="C28" s="30"/>
      <c r="D28" s="30"/>
      <c r="E28" s="30"/>
      <c r="F28" s="30">
        <v>0.01</v>
      </c>
      <c r="G28" s="30"/>
      <c r="H28" s="31">
        <v>1.4E-2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20224854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v>18245215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343612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1294957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57545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38271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245254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551C-FB17-4DD7-9AE8-043F610824FA}">
  <sheetPr>
    <tabColor rgb="FFFFFFCC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44440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4352955</v>
      </c>
      <c r="C6" s="83">
        <f>C7+C8+C9+C10</f>
        <v>22364</v>
      </c>
      <c r="D6" s="83">
        <f t="shared" ref="D6:F6" si="1">D7+D8+D9+D10</f>
        <v>56365</v>
      </c>
      <c r="E6" s="83">
        <f t="shared" si="1"/>
        <v>348048</v>
      </c>
      <c r="F6" s="83">
        <f t="shared" si="1"/>
        <v>1884802</v>
      </c>
      <c r="G6" s="83">
        <f>G7+G8+G9+G10</f>
        <v>0</v>
      </c>
      <c r="H6" s="90">
        <f>H7+H8+H9+H10</f>
        <v>2041376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4220668</v>
      </c>
      <c r="C7" s="7"/>
      <c r="D7" s="7">
        <v>56365</v>
      </c>
      <c r="E7" s="7">
        <v>348048</v>
      </c>
      <c r="F7" s="7">
        <v>1881799</v>
      </c>
      <c r="G7" s="7"/>
      <c r="H7" s="6">
        <v>1934456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105865</v>
      </c>
      <c r="C8" s="7"/>
      <c r="D8" s="7"/>
      <c r="E8" s="7">
        <v>0</v>
      </c>
      <c r="F8" s="7">
        <v>3003</v>
      </c>
      <c r="G8" s="7"/>
      <c r="H8" s="6">
        <v>102862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15" x14ac:dyDescent="0.25">
      <c r="A9" s="38" t="s">
        <v>8</v>
      </c>
      <c r="B9" s="2">
        <f>D9+E9+F9+G9+H9+C9</f>
        <v>4058</v>
      </c>
      <c r="C9" s="7"/>
      <c r="D9" s="7"/>
      <c r="E9" s="7">
        <v>0</v>
      </c>
      <c r="F9" s="7">
        <v>0</v>
      </c>
      <c r="G9" s="7"/>
      <c r="H9" s="6">
        <v>4058</v>
      </c>
      <c r="J9" s="74" t="s">
        <v>41</v>
      </c>
      <c r="K9" s="75"/>
      <c r="L9" s="75">
        <v>0</v>
      </c>
      <c r="M9" s="75">
        <v>8406</v>
      </c>
      <c r="N9" s="75">
        <v>3434</v>
      </c>
      <c r="O9" s="75"/>
      <c r="P9" s="75"/>
      <c r="Q9" s="76">
        <f>SUM(K9:P9)</f>
        <v>11840</v>
      </c>
    </row>
    <row r="10" spans="1:18" ht="14.25" x14ac:dyDescent="0.2">
      <c r="A10" s="38" t="s">
        <v>18</v>
      </c>
      <c r="B10" s="2">
        <f t="shared" si="0"/>
        <v>22364</v>
      </c>
      <c r="C10" s="7">
        <v>22364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8406</v>
      </c>
      <c r="N10" s="77">
        <f t="shared" si="2"/>
        <v>3434</v>
      </c>
      <c r="O10" s="77">
        <f t="shared" si="2"/>
        <v>0</v>
      </c>
      <c r="P10" s="77">
        <f t="shared" si="2"/>
        <v>0</v>
      </c>
      <c r="Q10" s="77">
        <f>SUM(K10:P10)</f>
        <v>11840</v>
      </c>
    </row>
    <row r="11" spans="1:18" ht="15" x14ac:dyDescent="0.25">
      <c r="A11" s="39" t="s">
        <v>9</v>
      </c>
      <c r="B11" s="67">
        <f>D11+E11+F11+G11+H11+C11</f>
        <v>35842381</v>
      </c>
      <c r="C11" s="59">
        <f>C12+C13+C14+C15</f>
        <v>124706</v>
      </c>
      <c r="D11" s="59">
        <f t="shared" ref="D11:G11" si="3">D12+D13+D14+D15</f>
        <v>629798</v>
      </c>
      <c r="E11" s="59">
        <f t="shared" si="3"/>
        <v>104584</v>
      </c>
      <c r="F11" s="59">
        <f t="shared" si="3"/>
        <v>2732014</v>
      </c>
      <c r="G11" s="59">
        <f t="shared" si="3"/>
        <v>0</v>
      </c>
      <c r="H11" s="35">
        <f>H12+H13+H14+H15</f>
        <v>32251279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5.75" x14ac:dyDescent="0.25">
      <c r="A12" s="38" t="s">
        <v>44</v>
      </c>
      <c r="B12" s="2">
        <f>D12+E12+F12+G12+H12+C12</f>
        <v>34242064</v>
      </c>
      <c r="C12" s="7"/>
      <c r="D12" s="7">
        <v>629798</v>
      </c>
      <c r="E12" s="7">
        <v>104584</v>
      </c>
      <c r="F12" s="7">
        <v>2669297</v>
      </c>
      <c r="G12" s="7"/>
      <c r="H12" s="6">
        <v>30838385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8406</v>
      </c>
      <c r="N12" s="81">
        <f t="shared" si="4"/>
        <v>3434</v>
      </c>
      <c r="O12" s="81">
        <f t="shared" si="4"/>
        <v>0</v>
      </c>
      <c r="P12" s="81">
        <f t="shared" si="4"/>
        <v>0</v>
      </c>
      <c r="Q12" s="82">
        <f>SUM(K12:P12)</f>
        <v>11840</v>
      </c>
    </row>
    <row r="13" spans="1:18" x14ac:dyDescent="0.2">
      <c r="A13" s="38" t="s">
        <v>7</v>
      </c>
      <c r="B13" s="25">
        <f t="shared" si="0"/>
        <v>1387547</v>
      </c>
      <c r="C13" s="7"/>
      <c r="D13" s="7">
        <v>0</v>
      </c>
      <c r="E13" s="7">
        <v>0</v>
      </c>
      <c r="F13" s="7">
        <v>62717</v>
      </c>
      <c r="G13" s="7"/>
      <c r="H13" s="6">
        <v>1324830</v>
      </c>
      <c r="Q13" s="91"/>
      <c r="R13" s="105"/>
    </row>
    <row r="14" spans="1:18" x14ac:dyDescent="0.2">
      <c r="A14" s="38" t="s">
        <v>8</v>
      </c>
      <c r="B14" s="2">
        <f t="shared" si="0"/>
        <v>88064</v>
      </c>
      <c r="C14" s="7"/>
      <c r="D14" s="7">
        <v>0</v>
      </c>
      <c r="E14" s="7">
        <v>0</v>
      </c>
      <c r="F14" s="7">
        <v>0</v>
      </c>
      <c r="G14" s="7"/>
      <c r="H14" s="6">
        <v>88064</v>
      </c>
      <c r="Q14" s="32"/>
    </row>
    <row r="15" spans="1:18" x14ac:dyDescent="0.2">
      <c r="A15" s="38" t="s">
        <v>18</v>
      </c>
      <c r="B15" s="2">
        <f t="shared" si="0"/>
        <v>124706</v>
      </c>
      <c r="C15" s="7">
        <v>124706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62795074</v>
      </c>
      <c r="C16" s="59">
        <f t="shared" ref="C16:H16" si="5">C17+C18+C19+C20</f>
        <v>2160663</v>
      </c>
      <c r="D16" s="59">
        <f t="shared" si="5"/>
        <v>10354049</v>
      </c>
      <c r="E16" s="59">
        <f t="shared" si="5"/>
        <v>3027032</v>
      </c>
      <c r="F16" s="59">
        <f t="shared" si="5"/>
        <v>38455877</v>
      </c>
      <c r="G16" s="59">
        <f t="shared" si="5"/>
        <v>55309</v>
      </c>
      <c r="H16" s="35">
        <f t="shared" si="5"/>
        <v>8742144</v>
      </c>
    </row>
    <row r="17" spans="1:20" x14ac:dyDescent="0.2">
      <c r="A17" s="38" t="s">
        <v>44</v>
      </c>
      <c r="B17" s="2">
        <f t="shared" si="0"/>
        <v>59906081</v>
      </c>
      <c r="C17" s="7"/>
      <c r="D17" s="7">
        <v>10354049</v>
      </c>
      <c r="E17" s="7">
        <v>3015498</v>
      </c>
      <c r="F17" s="7">
        <v>38064626</v>
      </c>
      <c r="G17" s="7">
        <v>55309</v>
      </c>
      <c r="H17" s="6">
        <f>8428439-11840</f>
        <v>8416599</v>
      </c>
    </row>
    <row r="18" spans="1:20" x14ac:dyDescent="0.2">
      <c r="A18" s="38" t="s">
        <v>7</v>
      </c>
      <c r="B18" s="25">
        <f t="shared" si="0"/>
        <v>644039</v>
      </c>
      <c r="C18" s="7"/>
      <c r="D18" s="7">
        <v>0</v>
      </c>
      <c r="E18" s="7">
        <v>11534</v>
      </c>
      <c r="F18" s="7">
        <v>335887</v>
      </c>
      <c r="G18" s="7">
        <v>0</v>
      </c>
      <c r="H18" s="6">
        <v>296618</v>
      </c>
    </row>
    <row r="19" spans="1:20" x14ac:dyDescent="0.2">
      <c r="A19" s="38" t="s">
        <v>8</v>
      </c>
      <c r="B19" s="2">
        <f t="shared" si="0"/>
        <v>84291</v>
      </c>
      <c r="C19" s="7"/>
      <c r="D19" s="7">
        <v>0</v>
      </c>
      <c r="E19" s="7">
        <v>0</v>
      </c>
      <c r="F19" s="7">
        <v>55364</v>
      </c>
      <c r="G19" s="7">
        <v>0</v>
      </c>
      <c r="H19" s="6">
        <v>28927</v>
      </c>
    </row>
    <row r="20" spans="1:20" ht="19.5" customHeight="1" x14ac:dyDescent="0.2">
      <c r="A20" s="38" t="s">
        <v>18</v>
      </c>
      <c r="B20" s="2">
        <f t="shared" si="0"/>
        <v>2160663</v>
      </c>
      <c r="C20" s="7">
        <v>2160663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102990410</v>
      </c>
      <c r="C21" s="59">
        <f>C6+C11+C16</f>
        <v>2307733</v>
      </c>
      <c r="D21" s="59">
        <f t="shared" ref="D21:H21" si="6">D6+D11+D16</f>
        <v>11040212</v>
      </c>
      <c r="E21" s="59">
        <f t="shared" si="6"/>
        <v>3479664</v>
      </c>
      <c r="F21" s="59">
        <f t="shared" si="6"/>
        <v>43072693</v>
      </c>
      <c r="G21" s="59">
        <f t="shared" si="6"/>
        <v>55309</v>
      </c>
      <c r="H21" s="35">
        <f t="shared" si="6"/>
        <v>43034799</v>
      </c>
      <c r="J21" s="91">
        <v>103002250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-11840</v>
      </c>
      <c r="T22" s="32"/>
    </row>
    <row r="23" spans="1:20" ht="14.25" customHeight="1" thickBot="1" x14ac:dyDescent="0.25">
      <c r="A23" s="40" t="s">
        <v>14</v>
      </c>
      <c r="B23" s="45">
        <v>6733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20" ht="24.75" customHeight="1" x14ac:dyDescent="0.2">
      <c r="A25" s="47" t="s">
        <v>28</v>
      </c>
      <c r="B25" s="50">
        <f>B27+B28+B29+B26</f>
        <v>9.3850000000000016</v>
      </c>
      <c r="C25" s="26">
        <f>C26</f>
        <v>2.4300000000000002</v>
      </c>
      <c r="D25" s="26">
        <f t="shared" ref="D25:H25" si="7">D27+D28+D29+D26</f>
        <v>0.20300000000000001</v>
      </c>
      <c r="E25" s="26">
        <f>E27+E28+E29+E26</f>
        <v>3.0000000000000001E-3</v>
      </c>
      <c r="F25" s="26">
        <f t="shared" si="7"/>
        <v>6.258</v>
      </c>
      <c r="G25" s="26">
        <f t="shared" si="7"/>
        <v>1.4E-2</v>
      </c>
      <c r="H25" s="27">
        <f t="shared" si="7"/>
        <v>0.47700000000000004</v>
      </c>
    </row>
    <row r="26" spans="1:20" x14ac:dyDescent="0.2">
      <c r="A26" s="48" t="s">
        <v>18</v>
      </c>
      <c r="B26" s="68">
        <f>SUM(C26:H26)</f>
        <v>2.4300000000000002</v>
      </c>
      <c r="C26" s="28">
        <v>2.4300000000000002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6.9330000000000007</v>
      </c>
      <c r="C27" s="28"/>
      <c r="D27" s="30">
        <v>0.20300000000000001</v>
      </c>
      <c r="E27" s="30">
        <v>3.0000000000000001E-3</v>
      </c>
      <c r="F27" s="30">
        <v>6.2480000000000002</v>
      </c>
      <c r="G27" s="30">
        <v>1.4E-2</v>
      </c>
      <c r="H27" s="31">
        <v>0.46500000000000002</v>
      </c>
    </row>
    <row r="28" spans="1:20" x14ac:dyDescent="0.2">
      <c r="A28" s="38" t="s">
        <v>7</v>
      </c>
      <c r="B28" s="51">
        <f t="shared" ref="B28:B29" si="8">SUM(C28:H28)</f>
        <v>2.1999999999999999E-2</v>
      </c>
      <c r="C28" s="30"/>
      <c r="D28" s="30"/>
      <c r="E28" s="30"/>
      <c r="F28" s="30">
        <v>0.01</v>
      </c>
      <c r="G28" s="30"/>
      <c r="H28" s="31">
        <v>1.2E-2</v>
      </c>
    </row>
    <row r="29" spans="1:2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21310455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f>19109085+2591</f>
        <v>19111676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351654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1427909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81739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116732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220745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D575-6CF7-413C-AA00-20125EDA2620}">
  <sheetPr>
    <tabColor rgb="FFFFFFCC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hidden="1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44470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5652284</v>
      </c>
      <c r="C6" s="83">
        <f>C7+C8+C9+C10</f>
        <v>18794</v>
      </c>
      <c r="D6" s="83">
        <f t="shared" ref="D6:F6" si="1">D7+D8+D9+D10</f>
        <v>71159</v>
      </c>
      <c r="E6" s="83">
        <f t="shared" si="1"/>
        <v>468609</v>
      </c>
      <c r="F6" s="83">
        <f t="shared" si="1"/>
        <v>2250334</v>
      </c>
      <c r="G6" s="83">
        <f>G7+G8+G9+G10</f>
        <v>0</v>
      </c>
      <c r="H6" s="90">
        <f>H7+H8+H9+H10</f>
        <v>2843388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5488209</v>
      </c>
      <c r="C7" s="7"/>
      <c r="D7" s="7">
        <v>71159</v>
      </c>
      <c r="E7" s="7">
        <v>468609</v>
      </c>
      <c r="F7" s="7">
        <v>2245761</v>
      </c>
      <c r="G7" s="7"/>
      <c r="H7" s="6">
        <v>2702680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141237</v>
      </c>
      <c r="C8" s="7"/>
      <c r="D8" s="7"/>
      <c r="E8" s="7">
        <v>0</v>
      </c>
      <c r="F8" s="7">
        <v>4573</v>
      </c>
      <c r="G8" s="7"/>
      <c r="H8" s="6">
        <v>136664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4044</v>
      </c>
      <c r="C9" s="7"/>
      <c r="D9" s="7"/>
      <c r="E9" s="7">
        <v>0</v>
      </c>
      <c r="F9" s="7">
        <v>0</v>
      </c>
      <c r="G9" s="7"/>
      <c r="H9" s="6">
        <v>4044</v>
      </c>
      <c r="J9" s="74" t="s">
        <v>41</v>
      </c>
      <c r="K9" s="75"/>
      <c r="L9" s="75">
        <v>0</v>
      </c>
      <c r="M9" s="75">
        <v>7338</v>
      </c>
      <c r="N9" s="75">
        <v>2891</v>
      </c>
      <c r="O9" s="75"/>
      <c r="P9" s="75"/>
      <c r="Q9" s="76">
        <v>10229</v>
      </c>
    </row>
    <row r="10" spans="1:18" ht="14.25" x14ac:dyDescent="0.2">
      <c r="A10" s="38" t="s">
        <v>18</v>
      </c>
      <c r="B10" s="2">
        <f t="shared" si="0"/>
        <v>18794</v>
      </c>
      <c r="C10" s="7">
        <v>18794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7338</v>
      </c>
      <c r="N10" s="77">
        <v>2891</v>
      </c>
      <c r="O10" s="77">
        <v>0</v>
      </c>
      <c r="P10" s="77">
        <v>0</v>
      </c>
      <c r="Q10" s="77">
        <v>10229</v>
      </c>
    </row>
    <row r="11" spans="1:18" ht="15" x14ac:dyDescent="0.25">
      <c r="A11" s="39" t="s">
        <v>9</v>
      </c>
      <c r="B11" s="67">
        <f>D11+E11+F11+G11+H11+C11</f>
        <v>35730824</v>
      </c>
      <c r="C11" s="59">
        <f>C12+C13+C14+C15</f>
        <v>151379</v>
      </c>
      <c r="D11" s="59">
        <f t="shared" ref="D11:G11" si="2">D12+D13+D14+D15</f>
        <v>674715</v>
      </c>
      <c r="E11" s="59">
        <f t="shared" si="2"/>
        <v>110727</v>
      </c>
      <c r="F11" s="59">
        <f t="shared" si="2"/>
        <v>2452840</v>
      </c>
      <c r="G11" s="59">
        <f t="shared" si="2"/>
        <v>9340</v>
      </c>
      <c r="H11" s="35">
        <f>H12+H13+H14+H15</f>
        <v>32331823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44</v>
      </c>
      <c r="B12" s="2">
        <f>D12+E12+F12+G12+H12+C12</f>
        <v>34048232</v>
      </c>
      <c r="C12" s="7"/>
      <c r="D12" s="7">
        <v>674715</v>
      </c>
      <c r="E12" s="7">
        <v>110727</v>
      </c>
      <c r="F12" s="7">
        <v>2412032</v>
      </c>
      <c r="G12" s="7">
        <v>9340</v>
      </c>
      <c r="H12" s="6">
        <v>30841418</v>
      </c>
      <c r="J12" s="80" t="s">
        <v>39</v>
      </c>
      <c r="K12" s="81">
        <v>0</v>
      </c>
      <c r="L12" s="81">
        <v>0</v>
      </c>
      <c r="M12" s="81">
        <v>7338</v>
      </c>
      <c r="N12" s="81">
        <v>2891</v>
      </c>
      <c r="O12" s="81">
        <v>0</v>
      </c>
      <c r="P12" s="81">
        <v>0</v>
      </c>
      <c r="Q12" s="82">
        <v>10229</v>
      </c>
    </row>
    <row r="13" spans="1:18" x14ac:dyDescent="0.2">
      <c r="A13" s="38" t="s">
        <v>7</v>
      </c>
      <c r="B13" s="25">
        <f t="shared" si="0"/>
        <v>1448264</v>
      </c>
      <c r="C13" s="7"/>
      <c r="D13" s="7">
        <v>0</v>
      </c>
      <c r="E13" s="7">
        <v>0</v>
      </c>
      <c r="F13" s="7">
        <v>40808</v>
      </c>
      <c r="G13" s="7"/>
      <c r="H13" s="6">
        <v>1407456</v>
      </c>
      <c r="Q13" s="91"/>
      <c r="R13" s="105"/>
    </row>
    <row r="14" spans="1:18" x14ac:dyDescent="0.2">
      <c r="A14" s="38" t="s">
        <v>8</v>
      </c>
      <c r="B14" s="2">
        <f t="shared" si="0"/>
        <v>82949</v>
      </c>
      <c r="C14" s="7"/>
      <c r="D14" s="7">
        <v>0</v>
      </c>
      <c r="E14" s="7">
        <v>0</v>
      </c>
      <c r="F14" s="7">
        <v>0</v>
      </c>
      <c r="G14" s="7"/>
      <c r="H14" s="6">
        <v>82949</v>
      </c>
      <c r="Q14" s="32"/>
    </row>
    <row r="15" spans="1:18" x14ac:dyDescent="0.2">
      <c r="A15" s="38" t="s">
        <v>18</v>
      </c>
      <c r="B15" s="2">
        <f t="shared" si="0"/>
        <v>151379</v>
      </c>
      <c r="C15" s="7">
        <v>151379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71746899</v>
      </c>
      <c r="C16" s="59">
        <f t="shared" ref="C16:H16" si="3">C17+C18+C19+C20</f>
        <v>3280627</v>
      </c>
      <c r="D16" s="59">
        <f t="shared" si="3"/>
        <v>11415116</v>
      </c>
      <c r="E16" s="59">
        <f t="shared" si="3"/>
        <v>2840494</v>
      </c>
      <c r="F16" s="59">
        <f t="shared" si="3"/>
        <v>43354140</v>
      </c>
      <c r="G16" s="59">
        <f t="shared" si="3"/>
        <v>67997</v>
      </c>
      <c r="H16" s="35">
        <f t="shared" si="3"/>
        <v>10788525</v>
      </c>
    </row>
    <row r="17" spans="1:20" x14ac:dyDescent="0.2">
      <c r="A17" s="38" t="s">
        <v>44</v>
      </c>
      <c r="B17" s="2">
        <f t="shared" si="0"/>
        <v>67580647</v>
      </c>
      <c r="C17" s="7"/>
      <c r="D17" s="7">
        <v>11415116</v>
      </c>
      <c r="E17" s="7">
        <v>2829381</v>
      </c>
      <c r="F17" s="7">
        <v>42904745</v>
      </c>
      <c r="G17" s="7">
        <v>67997</v>
      </c>
      <c r="H17" s="6">
        <f>10373637-10229</f>
        <v>10363408</v>
      </c>
    </row>
    <row r="18" spans="1:20" x14ac:dyDescent="0.2">
      <c r="A18" s="38" t="s">
        <v>7</v>
      </c>
      <c r="B18" s="25">
        <f t="shared" si="0"/>
        <v>799607</v>
      </c>
      <c r="C18" s="7"/>
      <c r="D18" s="7">
        <v>0</v>
      </c>
      <c r="E18" s="7">
        <v>11113</v>
      </c>
      <c r="F18" s="7">
        <v>385983</v>
      </c>
      <c r="G18" s="7">
        <v>0</v>
      </c>
      <c r="H18" s="6">
        <v>402511</v>
      </c>
    </row>
    <row r="19" spans="1:20" x14ac:dyDescent="0.2">
      <c r="A19" s="38" t="s">
        <v>8</v>
      </c>
      <c r="B19" s="2">
        <f t="shared" si="0"/>
        <v>86018</v>
      </c>
      <c r="C19" s="7"/>
      <c r="D19" s="7">
        <v>0</v>
      </c>
      <c r="E19" s="7">
        <v>0</v>
      </c>
      <c r="F19" s="7">
        <v>63412</v>
      </c>
      <c r="G19" s="7">
        <v>0</v>
      </c>
      <c r="H19" s="6">
        <v>22606</v>
      </c>
    </row>
    <row r="20" spans="1:20" ht="19.5" customHeight="1" x14ac:dyDescent="0.2">
      <c r="A20" s="38" t="s">
        <v>18</v>
      </c>
      <c r="B20" s="2">
        <f t="shared" si="0"/>
        <v>3280627</v>
      </c>
      <c r="C20" s="7">
        <v>3280627</v>
      </c>
      <c r="D20" s="7"/>
      <c r="E20" s="7"/>
      <c r="F20" s="7"/>
      <c r="G20" s="7"/>
      <c r="H20" s="6"/>
      <c r="J20" s="91">
        <v>113140236</v>
      </c>
    </row>
    <row r="21" spans="1:20" ht="15.75" customHeight="1" x14ac:dyDescent="0.2">
      <c r="A21" s="39" t="s">
        <v>11</v>
      </c>
      <c r="B21" s="44">
        <f>D21+E21+F21+G21+H21+C21</f>
        <v>113130007</v>
      </c>
      <c r="C21" s="59">
        <f>C6+C11+C16</f>
        <v>3450800</v>
      </c>
      <c r="D21" s="59">
        <f t="shared" ref="D21:H21" si="4">D6+D11+D16</f>
        <v>12160990</v>
      </c>
      <c r="E21" s="59">
        <f t="shared" si="4"/>
        <v>3419830</v>
      </c>
      <c r="F21" s="59">
        <f t="shared" si="4"/>
        <v>48057314</v>
      </c>
      <c r="G21" s="59">
        <f t="shared" si="4"/>
        <v>77337</v>
      </c>
      <c r="H21" s="35">
        <f t="shared" si="4"/>
        <v>45963736</v>
      </c>
      <c r="J21" s="91">
        <v>113140236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-10229</v>
      </c>
      <c r="T22" s="32"/>
    </row>
    <row r="23" spans="1:20" ht="14.25" customHeight="1" thickBot="1" x14ac:dyDescent="0.25">
      <c r="A23" s="40" t="s">
        <v>14</v>
      </c>
      <c r="B23" s="45">
        <v>8013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20" ht="24.75" customHeight="1" x14ac:dyDescent="0.2">
      <c r="A25" s="47" t="s">
        <v>28</v>
      </c>
      <c r="B25" s="50">
        <f>B27+B28+B29+B26</f>
        <v>9.9420000000000002</v>
      </c>
      <c r="C25" s="26">
        <f>C26</f>
        <v>2.476</v>
      </c>
      <c r="D25" s="26">
        <f t="shared" ref="D25:H25" si="5">D27+D28+D29+D26</f>
        <v>0.20300000000000001</v>
      </c>
      <c r="E25" s="26">
        <f>E27+E28+E29+E26</f>
        <v>3.0000000000000001E-3</v>
      </c>
      <c r="F25" s="26">
        <f t="shared" si="5"/>
        <v>6.5839999999999996</v>
      </c>
      <c r="G25" s="26">
        <f t="shared" si="5"/>
        <v>1.4E-2</v>
      </c>
      <c r="H25" s="27">
        <f t="shared" si="5"/>
        <v>0.66200000000000003</v>
      </c>
    </row>
    <row r="26" spans="1:20" x14ac:dyDescent="0.2">
      <c r="A26" s="48" t="s">
        <v>18</v>
      </c>
      <c r="B26" s="68">
        <f>SUM(C26:H26)</f>
        <v>2.476</v>
      </c>
      <c r="C26" s="28">
        <v>2.476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7.4430000000000005</v>
      </c>
      <c r="C27" s="28"/>
      <c r="D27" s="30">
        <v>0.20300000000000001</v>
      </c>
      <c r="E27" s="30">
        <v>3.0000000000000001E-3</v>
      </c>
      <c r="F27" s="30">
        <v>6.5739999999999998</v>
      </c>
      <c r="G27" s="30">
        <v>1.4E-2</v>
      </c>
      <c r="H27" s="31">
        <v>0.64900000000000002</v>
      </c>
    </row>
    <row r="28" spans="1:20" x14ac:dyDescent="0.2">
      <c r="A28" s="38" t="s">
        <v>7</v>
      </c>
      <c r="B28" s="51">
        <f t="shared" ref="B28:B29" si="6">SUM(C28:H28)</f>
        <v>2.3E-2</v>
      </c>
      <c r="C28" s="30"/>
      <c r="D28" s="30"/>
      <c r="E28" s="30"/>
      <c r="F28" s="30">
        <v>0.01</v>
      </c>
      <c r="G28" s="30"/>
      <c r="H28" s="31">
        <v>1.2999999999999999E-2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30606871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f>28485589+5083</f>
        <v>28490672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390433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1099375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184831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149704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291856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75DB-7A55-48DB-98A8-5890F27F574E}">
  <sheetPr>
    <tabColor rgb="FFFFFFCC"/>
    <pageSetUpPr fitToPage="1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hidden="1" customWidth="1"/>
    <col min="10" max="10" width="13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44501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106">
        <f t="shared" ref="B6:B20" si="0">D6+E6+F6+G6+H6+C6</f>
        <v>6783721</v>
      </c>
      <c r="C6" s="83">
        <f>C7+C8+C9+C10</f>
        <v>20681</v>
      </c>
      <c r="D6" s="83">
        <f t="shared" ref="D6:F6" si="1">D7+D8+D9+D10</f>
        <v>70629</v>
      </c>
      <c r="E6" s="83">
        <f t="shared" si="1"/>
        <v>458832</v>
      </c>
      <c r="F6" s="83">
        <f t="shared" si="1"/>
        <v>2783942</v>
      </c>
      <c r="G6" s="83">
        <f>G7+G8+G9+G10</f>
        <v>0</v>
      </c>
      <c r="H6" s="90">
        <f>H7+H8+H9+H10</f>
        <v>3449637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5">
        <f>D7+E7+F7+G7+H7+C7</f>
        <v>6644355</v>
      </c>
      <c r="C7" s="7"/>
      <c r="D7" s="7">
        <v>70629</v>
      </c>
      <c r="E7" s="7">
        <v>458832</v>
      </c>
      <c r="F7" s="7">
        <v>2780193</v>
      </c>
      <c r="G7" s="7"/>
      <c r="H7" s="6">
        <v>3334701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5">
        <f>D8+E8+F8+G8+H8+C8</f>
        <v>114593</v>
      </c>
      <c r="C8" s="7"/>
      <c r="D8" s="7"/>
      <c r="E8" s="7">
        <v>0</v>
      </c>
      <c r="F8" s="7">
        <v>3749</v>
      </c>
      <c r="G8" s="7"/>
      <c r="H8" s="6">
        <v>110844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5">
        <f>D9+E9+F9+G9+H9+C9</f>
        <v>4092</v>
      </c>
      <c r="C9" s="7"/>
      <c r="D9" s="7"/>
      <c r="E9" s="7">
        <v>0</v>
      </c>
      <c r="F9" s="7">
        <v>0</v>
      </c>
      <c r="G9" s="7"/>
      <c r="H9" s="6">
        <v>4092</v>
      </c>
      <c r="J9" s="74" t="s">
        <v>41</v>
      </c>
      <c r="K9" s="75"/>
      <c r="L9" s="75">
        <v>0</v>
      </c>
      <c r="M9" s="75">
        <v>8706</v>
      </c>
      <c r="N9" s="75">
        <v>2827</v>
      </c>
      <c r="O9" s="75"/>
      <c r="P9" s="75"/>
      <c r="Q9" s="76">
        <f>SUM(M9:P9)</f>
        <v>11533</v>
      </c>
    </row>
    <row r="10" spans="1:18" ht="14.25" x14ac:dyDescent="0.2">
      <c r="A10" s="38" t="s">
        <v>18</v>
      </c>
      <c r="B10" s="25">
        <f t="shared" si="0"/>
        <v>20681</v>
      </c>
      <c r="C10" s="7">
        <v>20681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8706</v>
      </c>
      <c r="N10" s="77">
        <v>2827</v>
      </c>
      <c r="O10" s="77">
        <v>0</v>
      </c>
      <c r="P10" s="77">
        <v>0</v>
      </c>
      <c r="Q10" s="77">
        <f>SUM(M10:P10)</f>
        <v>11533</v>
      </c>
    </row>
    <row r="11" spans="1:18" ht="15" x14ac:dyDescent="0.25">
      <c r="A11" s="39" t="s">
        <v>9</v>
      </c>
      <c r="B11" s="67">
        <f>D11+E11+F11+G11+H11+C11</f>
        <v>37636651</v>
      </c>
      <c r="C11" s="59">
        <f>C12+C13+C14+C15</f>
        <v>176123</v>
      </c>
      <c r="D11" s="59">
        <f t="shared" ref="D11:G11" si="2">D12+D13+D14+D15</f>
        <v>705906</v>
      </c>
      <c r="E11" s="59">
        <f t="shared" si="2"/>
        <v>110133</v>
      </c>
      <c r="F11" s="59">
        <f t="shared" si="2"/>
        <v>2465655</v>
      </c>
      <c r="G11" s="59">
        <f t="shared" si="2"/>
        <v>120</v>
      </c>
      <c r="H11" s="35">
        <f>H12+H13+H14+H15</f>
        <v>34178714</v>
      </c>
      <c r="J11" s="74"/>
      <c r="K11" s="78"/>
      <c r="L11" s="78"/>
      <c r="M11" s="78"/>
      <c r="N11" s="78"/>
      <c r="O11" s="78"/>
      <c r="P11" s="78"/>
      <c r="Q11" s="79"/>
    </row>
    <row r="12" spans="1:18" ht="15.75" x14ac:dyDescent="0.25">
      <c r="A12" s="38" t="s">
        <v>44</v>
      </c>
      <c r="B12" s="25">
        <f>D12+E12+F12+G12+H12+C12</f>
        <v>35681994</v>
      </c>
      <c r="C12" s="7"/>
      <c r="D12" s="7">
        <v>705906</v>
      </c>
      <c r="E12" s="7">
        <v>110133</v>
      </c>
      <c r="F12" s="7">
        <v>2433534</v>
      </c>
      <c r="G12" s="7">
        <v>120</v>
      </c>
      <c r="H12" s="6">
        <v>32432301</v>
      </c>
      <c r="J12" s="80" t="s">
        <v>39</v>
      </c>
      <c r="K12" s="81">
        <v>0</v>
      </c>
      <c r="L12" s="81">
        <v>0</v>
      </c>
      <c r="M12" s="81">
        <v>8706</v>
      </c>
      <c r="N12" s="81">
        <v>2827</v>
      </c>
      <c r="O12" s="81">
        <v>0</v>
      </c>
      <c r="P12" s="81">
        <v>0</v>
      </c>
      <c r="Q12" s="82">
        <f>SUM(M12:P12)</f>
        <v>11533</v>
      </c>
    </row>
    <row r="13" spans="1:18" x14ac:dyDescent="0.2">
      <c r="A13" s="38" t="s">
        <v>7</v>
      </c>
      <c r="B13" s="25">
        <f t="shared" si="0"/>
        <v>1689880</v>
      </c>
      <c r="C13" s="7"/>
      <c r="D13" s="7">
        <v>0</v>
      </c>
      <c r="E13" s="7">
        <v>0</v>
      </c>
      <c r="F13" s="7">
        <v>32121</v>
      </c>
      <c r="G13" s="7"/>
      <c r="H13" s="6">
        <v>1657759</v>
      </c>
      <c r="Q13" s="91"/>
      <c r="R13" s="105"/>
    </row>
    <row r="14" spans="1:18" x14ac:dyDescent="0.2">
      <c r="A14" s="38" t="s">
        <v>8</v>
      </c>
      <c r="B14" s="25">
        <f t="shared" si="0"/>
        <v>88654</v>
      </c>
      <c r="C14" s="7"/>
      <c r="D14" s="7">
        <v>0</v>
      </c>
      <c r="E14" s="7">
        <v>0</v>
      </c>
      <c r="F14" s="7">
        <v>0</v>
      </c>
      <c r="G14" s="7"/>
      <c r="H14" s="6">
        <v>88654</v>
      </c>
      <c r="Q14" s="32"/>
    </row>
    <row r="15" spans="1:18" x14ac:dyDescent="0.2">
      <c r="A15" s="38" t="s">
        <v>18</v>
      </c>
      <c r="B15" s="25">
        <f t="shared" si="0"/>
        <v>176123</v>
      </c>
      <c r="C15" s="7">
        <v>176123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67">
        <f>D16+E16+F16+G16+H16+C16</f>
        <v>74105493</v>
      </c>
      <c r="C16" s="59">
        <f t="shared" ref="C16:H16" si="3">C17+C18+C19+C20</f>
        <v>3392656</v>
      </c>
      <c r="D16" s="59">
        <f t="shared" si="3"/>
        <v>12645760</v>
      </c>
      <c r="E16" s="59">
        <f t="shared" si="3"/>
        <v>3105946</v>
      </c>
      <c r="F16" s="59">
        <f t="shared" si="3"/>
        <v>43804317</v>
      </c>
      <c r="G16" s="59">
        <f t="shared" si="3"/>
        <v>61234</v>
      </c>
      <c r="H16" s="35">
        <f t="shared" si="3"/>
        <v>11095580</v>
      </c>
    </row>
    <row r="17" spans="1:20" x14ac:dyDescent="0.2">
      <c r="A17" s="38" t="s">
        <v>44</v>
      </c>
      <c r="B17" s="25">
        <f t="shared" si="0"/>
        <v>69713561</v>
      </c>
      <c r="C17" s="7"/>
      <c r="D17" s="7">
        <v>12645760</v>
      </c>
      <c r="E17" s="7">
        <v>3092381</v>
      </c>
      <c r="F17" s="7">
        <v>43279977</v>
      </c>
      <c r="G17" s="7">
        <v>61234</v>
      </c>
      <c r="H17" s="6">
        <f>10645742-11533</f>
        <v>10634209</v>
      </c>
    </row>
    <row r="18" spans="1:20" x14ac:dyDescent="0.2">
      <c r="A18" s="38" t="s">
        <v>7</v>
      </c>
      <c r="B18" s="25">
        <f t="shared" si="0"/>
        <v>900163</v>
      </c>
      <c r="C18" s="7"/>
      <c r="D18" s="7">
        <v>0</v>
      </c>
      <c r="E18" s="7">
        <v>13565</v>
      </c>
      <c r="F18" s="7">
        <v>453046</v>
      </c>
      <c r="G18" s="7">
        <v>0</v>
      </c>
      <c r="H18" s="6">
        <v>433552</v>
      </c>
    </row>
    <row r="19" spans="1:20" x14ac:dyDescent="0.2">
      <c r="A19" s="38" t="s">
        <v>8</v>
      </c>
      <c r="B19" s="25">
        <f t="shared" si="0"/>
        <v>99113</v>
      </c>
      <c r="C19" s="7"/>
      <c r="D19" s="7">
        <v>0</v>
      </c>
      <c r="E19" s="7">
        <v>0</v>
      </c>
      <c r="F19" s="7">
        <v>71294</v>
      </c>
      <c r="G19" s="7">
        <v>0</v>
      </c>
      <c r="H19" s="6">
        <v>27819</v>
      </c>
    </row>
    <row r="20" spans="1:20" x14ac:dyDescent="0.2">
      <c r="A20" s="38" t="s">
        <v>18</v>
      </c>
      <c r="B20" s="25">
        <f t="shared" si="0"/>
        <v>3392656</v>
      </c>
      <c r="C20" s="7">
        <v>3392656</v>
      </c>
      <c r="D20" s="7"/>
      <c r="E20" s="7"/>
      <c r="F20" s="7"/>
      <c r="G20" s="7"/>
      <c r="H20" s="6"/>
      <c r="J20" s="95"/>
    </row>
    <row r="21" spans="1:20" ht="15.75" customHeight="1" x14ac:dyDescent="0.2">
      <c r="A21" s="39" t="s">
        <v>11</v>
      </c>
      <c r="B21" s="43">
        <f>D21+E21+F21+G21+H21+C21</f>
        <v>118525865</v>
      </c>
      <c r="C21" s="59">
        <f>C6+C11+C16</f>
        <v>3589460</v>
      </c>
      <c r="D21" s="59">
        <f t="shared" ref="D21:H21" si="4">D6+D11+D16</f>
        <v>13422295</v>
      </c>
      <c r="E21" s="59">
        <f t="shared" si="4"/>
        <v>3674911</v>
      </c>
      <c r="F21" s="59">
        <f t="shared" si="4"/>
        <v>49053914</v>
      </c>
      <c r="G21" s="59">
        <f t="shared" si="4"/>
        <v>61354</v>
      </c>
      <c r="H21" s="35">
        <f t="shared" si="4"/>
        <v>48723931</v>
      </c>
      <c r="J21" s="95">
        <v>118537398</v>
      </c>
    </row>
    <row r="22" spans="1:20" ht="15.75" customHeight="1" x14ac:dyDescent="0.2">
      <c r="A22" s="39" t="s">
        <v>21</v>
      </c>
      <c r="B22" s="43"/>
      <c r="C22" s="59"/>
      <c r="D22" s="59"/>
      <c r="E22" s="59"/>
      <c r="F22" s="59"/>
      <c r="G22" s="59"/>
      <c r="H22" s="35"/>
      <c r="J22" s="95">
        <f>B21-J21</f>
        <v>-11533</v>
      </c>
      <c r="T22" s="32"/>
    </row>
    <row r="23" spans="1:20" ht="14.25" customHeight="1" thickBot="1" x14ac:dyDescent="0.25">
      <c r="A23" s="40" t="s">
        <v>14</v>
      </c>
      <c r="B23" s="45">
        <v>10017</v>
      </c>
      <c r="C23" s="65"/>
      <c r="D23" s="107"/>
      <c r="E23" s="107"/>
      <c r="F23" s="107"/>
      <c r="G23" s="107"/>
      <c r="H23" s="108"/>
    </row>
    <row r="24" spans="1:20" ht="13.5" customHeight="1" thickBot="1" x14ac:dyDescent="0.25">
      <c r="A24" s="46"/>
      <c r="B24" s="384" t="s">
        <v>13</v>
      </c>
      <c r="C24" s="385"/>
      <c r="D24" s="385"/>
      <c r="E24" s="385"/>
      <c r="F24" s="385"/>
      <c r="G24" s="385"/>
      <c r="H24" s="386"/>
    </row>
    <row r="25" spans="1:20" ht="24.75" customHeight="1" x14ac:dyDescent="0.2">
      <c r="A25" s="47" t="s">
        <v>28</v>
      </c>
      <c r="B25" s="109">
        <f>B27+B28+B29+B26</f>
        <v>9.702</v>
      </c>
      <c r="C25" s="110">
        <f>C26</f>
        <v>2.6819999999999999</v>
      </c>
      <c r="D25" s="110">
        <f t="shared" ref="D25:H25" si="5">D27+D28+D29+D26</f>
        <v>0.20499999999999999</v>
      </c>
      <c r="E25" s="110">
        <f>E27+E28+E29+E26</f>
        <v>3.0000000000000001E-3</v>
      </c>
      <c r="F25" s="110">
        <f t="shared" si="5"/>
        <v>6.1059999999999999</v>
      </c>
      <c r="G25" s="110">
        <f t="shared" si="5"/>
        <v>1.2E-2</v>
      </c>
      <c r="H25" s="111">
        <f t="shared" si="5"/>
        <v>0.69400000000000006</v>
      </c>
    </row>
    <row r="26" spans="1:20" x14ac:dyDescent="0.2">
      <c r="A26" s="48" t="s">
        <v>18</v>
      </c>
      <c r="B26" s="68">
        <f>SUM(C26:H26)</f>
        <v>2.6819999999999999</v>
      </c>
      <c r="C26" s="28">
        <v>2.6819999999999999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6.9939999999999998</v>
      </c>
      <c r="C27" s="28"/>
      <c r="D27" s="28">
        <v>0.20499999999999999</v>
      </c>
      <c r="E27" s="28">
        <v>3.0000000000000001E-3</v>
      </c>
      <c r="F27" s="28">
        <v>6.093</v>
      </c>
      <c r="G27" s="28">
        <v>1.2E-2</v>
      </c>
      <c r="H27" s="29">
        <v>0.68100000000000005</v>
      </c>
    </row>
    <row r="28" spans="1:20" x14ac:dyDescent="0.2">
      <c r="A28" s="38" t="s">
        <v>7</v>
      </c>
      <c r="B28" s="68">
        <f t="shared" ref="B28:B29" si="6">SUM(C28:H28)</f>
        <v>2.5999999999999999E-2</v>
      </c>
      <c r="C28" s="28"/>
      <c r="D28" s="28"/>
      <c r="E28" s="28"/>
      <c r="F28" s="28">
        <v>1.2999999999999999E-2</v>
      </c>
      <c r="G28" s="28"/>
      <c r="H28" s="29">
        <v>1.2999999999999999E-2</v>
      </c>
    </row>
    <row r="29" spans="1:20" ht="13.5" customHeight="1" thickBot="1" x14ac:dyDescent="0.25">
      <c r="A29" s="49" t="s">
        <v>8</v>
      </c>
      <c r="B29" s="68">
        <f t="shared" si="6"/>
        <v>0</v>
      </c>
      <c r="C29" s="112"/>
      <c r="D29" s="112"/>
      <c r="E29" s="112"/>
      <c r="F29" s="112"/>
      <c r="G29" s="112"/>
      <c r="H29" s="113"/>
    </row>
    <row r="30" spans="1:20" ht="13.5" customHeight="1" thickBot="1" x14ac:dyDescent="0.25">
      <c r="B30" s="11"/>
      <c r="C30" s="11"/>
      <c r="D30" s="114"/>
      <c r="E30" s="11"/>
      <c r="F30" s="11"/>
      <c r="G30" s="11"/>
      <c r="H30" s="11"/>
    </row>
    <row r="31" spans="1:20" ht="51.75" customHeight="1" x14ac:dyDescent="0.2">
      <c r="A31" s="66" t="s">
        <v>29</v>
      </c>
      <c r="B31" s="115">
        <f>SUM(B32:B37)</f>
        <v>26178946</v>
      </c>
      <c r="C31" s="115"/>
      <c r="D31" s="116"/>
      <c r="E31" s="116"/>
      <c r="F31" s="116"/>
      <c r="G31" s="116"/>
      <c r="H31" s="117"/>
    </row>
    <row r="32" spans="1:20" ht="13.5" customHeight="1" x14ac:dyDescent="0.2">
      <c r="A32" s="53" t="s">
        <v>44</v>
      </c>
      <c r="B32" s="60">
        <f>24527518-7674</f>
        <v>24519844</v>
      </c>
      <c r="C32" s="7"/>
      <c r="D32" s="60"/>
      <c r="E32" s="60"/>
      <c r="F32" s="60"/>
      <c r="G32" s="60"/>
      <c r="H32" s="60"/>
    </row>
    <row r="33" spans="1:8" ht="13.5" customHeight="1" x14ac:dyDescent="0.2">
      <c r="A33" s="85" t="s">
        <v>16</v>
      </c>
      <c r="B33" s="61">
        <v>439258</v>
      </c>
      <c r="C33" s="61"/>
      <c r="D33" s="60"/>
      <c r="E33" s="60"/>
      <c r="F33" s="60"/>
      <c r="G33" s="60"/>
      <c r="H33" s="60"/>
    </row>
    <row r="34" spans="1:8" ht="13.5" customHeight="1" x14ac:dyDescent="0.2">
      <c r="A34" s="84" t="s">
        <v>24</v>
      </c>
      <c r="B34" s="61">
        <v>717943</v>
      </c>
      <c r="C34" s="61"/>
      <c r="D34" s="60"/>
      <c r="E34" s="60"/>
      <c r="F34" s="60"/>
      <c r="G34" s="60"/>
      <c r="H34" s="60"/>
    </row>
    <row r="35" spans="1:8" ht="13.5" customHeight="1" x14ac:dyDescent="0.2">
      <c r="A35" s="85" t="s">
        <v>20</v>
      </c>
      <c r="B35" s="61">
        <v>176573</v>
      </c>
      <c r="C35" s="61"/>
      <c r="D35" s="60"/>
      <c r="E35" s="60"/>
      <c r="F35" s="60"/>
      <c r="G35" s="60"/>
      <c r="H35" s="60"/>
    </row>
    <row r="36" spans="1:8" ht="13.5" customHeight="1" x14ac:dyDescent="0.2">
      <c r="A36" s="85" t="s">
        <v>22</v>
      </c>
      <c r="B36" s="61">
        <v>31266</v>
      </c>
      <c r="C36" s="61"/>
      <c r="D36" s="60"/>
      <c r="E36" s="60"/>
      <c r="F36" s="60"/>
      <c r="G36" s="60"/>
      <c r="H36" s="60"/>
    </row>
    <row r="37" spans="1:8" ht="12" customHeight="1" x14ac:dyDescent="0.2">
      <c r="A37" s="84" t="s">
        <v>42</v>
      </c>
      <c r="B37" s="118">
        <v>294062</v>
      </c>
      <c r="C37" s="119"/>
      <c r="D37" s="119"/>
      <c r="E37" s="119"/>
      <c r="F37" s="119"/>
      <c r="G37" s="119"/>
      <c r="H37" s="1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4FFD-DE4F-46CB-A89E-B075EC552645}">
  <sheetPr>
    <tabColor rgb="FFFFFFCC"/>
    <pageSetUpPr fitToPage="1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" style="91" customWidth="1"/>
    <col min="11" max="11" width="11.42578125" customWidth="1"/>
    <col min="12" max="16" width="9.140625" customWidth="1"/>
    <col min="17" max="17" width="12.7109375" customWidth="1"/>
    <col min="18" max="19" width="9.140625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44531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106">
        <f t="shared" ref="B6:B20" si="0">D6+E6+F6+G6+H6+C6</f>
        <v>6950724</v>
      </c>
      <c r="C6" s="83">
        <f>C7+C8+C9+C10</f>
        <v>22880</v>
      </c>
      <c r="D6" s="83">
        <f t="shared" ref="D6:F6" si="1">D7+D8+D9+D10</f>
        <v>77804</v>
      </c>
      <c r="E6" s="83">
        <f t="shared" si="1"/>
        <v>512817</v>
      </c>
      <c r="F6" s="83">
        <f t="shared" si="1"/>
        <v>2538976</v>
      </c>
      <c r="G6" s="83">
        <f>G7+G8+G9+G10</f>
        <v>0</v>
      </c>
      <c r="H6" s="90">
        <f>H7+H8+H9+H10</f>
        <v>3798247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5">
        <f>D7+E7+F7+G7+H7+C7</f>
        <v>6808916</v>
      </c>
      <c r="C7" s="7"/>
      <c r="D7" s="7">
        <v>77804</v>
      </c>
      <c r="E7" s="7">
        <v>512817</v>
      </c>
      <c r="F7" s="7">
        <v>2535060</v>
      </c>
      <c r="G7" s="7"/>
      <c r="H7" s="6">
        <v>3683235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5">
        <f>D8+E8+F8+G8+H8+C8</f>
        <v>113809</v>
      </c>
      <c r="C8" s="7"/>
      <c r="D8" s="7"/>
      <c r="E8" s="7">
        <v>0</v>
      </c>
      <c r="F8" s="7">
        <v>3916</v>
      </c>
      <c r="G8" s="7"/>
      <c r="H8" s="6">
        <v>109893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15" x14ac:dyDescent="0.25">
      <c r="A9" s="38" t="s">
        <v>8</v>
      </c>
      <c r="B9" s="25">
        <f>D9+E9+F9+G9+H9+C9</f>
        <v>5119</v>
      </c>
      <c r="C9" s="7"/>
      <c r="D9" s="7"/>
      <c r="E9" s="7">
        <v>0</v>
      </c>
      <c r="F9" s="7">
        <v>0</v>
      </c>
      <c r="G9" s="7"/>
      <c r="H9" s="6">
        <v>5119</v>
      </c>
      <c r="J9" s="74" t="s">
        <v>41</v>
      </c>
      <c r="K9" s="75"/>
      <c r="L9" s="75">
        <v>0</v>
      </c>
      <c r="M9" s="75">
        <v>7200</v>
      </c>
      <c r="N9" s="75">
        <v>2389</v>
      </c>
      <c r="O9" s="75"/>
      <c r="P9" s="75"/>
      <c r="Q9" s="76">
        <f>SUM(K9:P9)</f>
        <v>9589</v>
      </c>
    </row>
    <row r="10" spans="1:18" ht="14.25" x14ac:dyDescent="0.2">
      <c r="A10" s="38" t="s">
        <v>18</v>
      </c>
      <c r="B10" s="25">
        <f t="shared" si="0"/>
        <v>22880</v>
      </c>
      <c r="C10" s="7">
        <v>22880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7200</v>
      </c>
      <c r="N10" s="77">
        <f t="shared" si="2"/>
        <v>2389</v>
      </c>
      <c r="O10" s="77">
        <f t="shared" si="2"/>
        <v>0</v>
      </c>
      <c r="P10" s="77">
        <f t="shared" si="2"/>
        <v>0</v>
      </c>
      <c r="Q10" s="77">
        <f>SUM(K10:P10)</f>
        <v>9589</v>
      </c>
    </row>
    <row r="11" spans="1:18" ht="15" x14ac:dyDescent="0.25">
      <c r="A11" s="39" t="s">
        <v>9</v>
      </c>
      <c r="B11" s="67">
        <f>D11+E11+F11+G11+H11+C11</f>
        <v>39049293</v>
      </c>
      <c r="C11" s="59">
        <f>C12+C13+C14+C15</f>
        <v>177261</v>
      </c>
      <c r="D11" s="59">
        <f t="shared" ref="D11:G11" si="3">D12+D13+D14+D15</f>
        <v>672263</v>
      </c>
      <c r="E11" s="59">
        <f t="shared" si="3"/>
        <v>108595</v>
      </c>
      <c r="F11" s="59">
        <f t="shared" si="3"/>
        <v>2418620</v>
      </c>
      <c r="G11" s="59">
        <f t="shared" si="3"/>
        <v>7840</v>
      </c>
      <c r="H11" s="35">
        <f>H12+H13+H14+H15</f>
        <v>35664714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5.75" x14ac:dyDescent="0.25">
      <c r="A12" s="38" t="s">
        <v>44</v>
      </c>
      <c r="B12" s="25">
        <f>D12+E12+F12+G12+H12+C12</f>
        <v>37316503</v>
      </c>
      <c r="C12" s="7"/>
      <c r="D12" s="7">
        <v>672263</v>
      </c>
      <c r="E12" s="7">
        <v>108595</v>
      </c>
      <c r="F12" s="7">
        <v>2387920</v>
      </c>
      <c r="G12" s="7">
        <v>7840</v>
      </c>
      <c r="H12" s="6">
        <v>34139885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7200</v>
      </c>
      <c r="N12" s="81">
        <f t="shared" si="4"/>
        <v>2389</v>
      </c>
      <c r="O12" s="81">
        <f t="shared" si="4"/>
        <v>0</v>
      </c>
      <c r="P12" s="81">
        <f t="shared" si="4"/>
        <v>0</v>
      </c>
      <c r="Q12" s="82">
        <f>SUM(K12:P12)</f>
        <v>9589</v>
      </c>
    </row>
    <row r="13" spans="1:18" x14ac:dyDescent="0.2">
      <c r="A13" s="38" t="s">
        <v>7</v>
      </c>
      <c r="B13" s="25">
        <f t="shared" si="0"/>
        <v>1462895</v>
      </c>
      <c r="C13" s="7"/>
      <c r="D13" s="7">
        <v>0</v>
      </c>
      <c r="E13" s="7">
        <v>0</v>
      </c>
      <c r="F13" s="7">
        <v>30700</v>
      </c>
      <c r="G13" s="7"/>
      <c r="H13" s="6">
        <v>1432195</v>
      </c>
      <c r="Q13" s="91"/>
      <c r="R13" s="105"/>
    </row>
    <row r="14" spans="1:18" x14ac:dyDescent="0.2">
      <c r="A14" s="38" t="s">
        <v>8</v>
      </c>
      <c r="B14" s="25">
        <f t="shared" si="0"/>
        <v>92634</v>
      </c>
      <c r="C14" s="7"/>
      <c r="D14" s="7">
        <v>0</v>
      </c>
      <c r="E14" s="7">
        <v>0</v>
      </c>
      <c r="F14" s="7">
        <v>0</v>
      </c>
      <c r="G14" s="7"/>
      <c r="H14" s="6">
        <v>92634</v>
      </c>
      <c r="Q14" s="32"/>
    </row>
    <row r="15" spans="1:18" x14ac:dyDescent="0.2">
      <c r="A15" s="38" t="s">
        <v>18</v>
      </c>
      <c r="B15" s="25">
        <f t="shared" si="0"/>
        <v>177261</v>
      </c>
      <c r="C15" s="7">
        <v>177261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67">
        <f>D16+E16+F16+G16+H16+C16</f>
        <v>77229501</v>
      </c>
      <c r="C16" s="59">
        <f t="shared" ref="C16:H16" si="5">C17+C18+C19+C20</f>
        <v>4337214</v>
      </c>
      <c r="D16" s="59">
        <f t="shared" si="5"/>
        <v>13957781</v>
      </c>
      <c r="E16" s="59">
        <f t="shared" si="5"/>
        <v>3418596</v>
      </c>
      <c r="F16" s="59">
        <f t="shared" si="5"/>
        <v>44523507</v>
      </c>
      <c r="G16" s="59">
        <f t="shared" si="5"/>
        <v>65570</v>
      </c>
      <c r="H16" s="35">
        <f t="shared" si="5"/>
        <v>10926833</v>
      </c>
    </row>
    <row r="17" spans="1:20" x14ac:dyDescent="0.2">
      <c r="A17" s="38" t="s">
        <v>44</v>
      </c>
      <c r="B17" s="25">
        <f t="shared" si="0"/>
        <v>71873477</v>
      </c>
      <c r="C17" s="7"/>
      <c r="D17" s="7">
        <v>13957781</v>
      </c>
      <c r="E17" s="7">
        <v>3406192</v>
      </c>
      <c r="F17" s="7">
        <v>43998815</v>
      </c>
      <c r="G17" s="7">
        <v>65570</v>
      </c>
      <c r="H17" s="6">
        <f>10454708-9589</f>
        <v>10445119</v>
      </c>
    </row>
    <row r="18" spans="1:20" x14ac:dyDescent="0.2">
      <c r="A18" s="38" t="s">
        <v>7</v>
      </c>
      <c r="B18" s="25">
        <f t="shared" si="0"/>
        <v>908032</v>
      </c>
      <c r="C18" s="7"/>
      <c r="D18" s="7">
        <v>0</v>
      </c>
      <c r="E18" s="7">
        <v>12404</v>
      </c>
      <c r="F18" s="7">
        <v>437464</v>
      </c>
      <c r="G18" s="7">
        <v>0</v>
      </c>
      <c r="H18" s="6">
        <v>458164</v>
      </c>
    </row>
    <row r="19" spans="1:20" x14ac:dyDescent="0.2">
      <c r="A19" s="38" t="s">
        <v>8</v>
      </c>
      <c r="B19" s="25">
        <f t="shared" si="0"/>
        <v>110778</v>
      </c>
      <c r="C19" s="7"/>
      <c r="D19" s="7">
        <v>0</v>
      </c>
      <c r="E19" s="7">
        <v>0</v>
      </c>
      <c r="F19" s="7">
        <v>87228</v>
      </c>
      <c r="G19" s="7">
        <v>0</v>
      </c>
      <c r="H19" s="6">
        <v>23550</v>
      </c>
    </row>
    <row r="20" spans="1:20" x14ac:dyDescent="0.2">
      <c r="A20" s="38" t="s">
        <v>18</v>
      </c>
      <c r="B20" s="25">
        <f t="shared" si="0"/>
        <v>4337214</v>
      </c>
      <c r="C20" s="7">
        <v>4337214</v>
      </c>
      <c r="D20" s="7"/>
      <c r="E20" s="7"/>
      <c r="F20" s="7"/>
      <c r="G20" s="7"/>
      <c r="H20" s="6"/>
      <c r="J20" s="95"/>
    </row>
    <row r="21" spans="1:20" ht="15.75" customHeight="1" x14ac:dyDescent="0.2">
      <c r="A21" s="39" t="s">
        <v>11</v>
      </c>
      <c r="B21" s="43">
        <f>D21+E21+F21+G21+H21+C21</f>
        <v>123229518</v>
      </c>
      <c r="C21" s="59">
        <f>C6+C11+C16</f>
        <v>4537355</v>
      </c>
      <c r="D21" s="59">
        <f t="shared" ref="D21:H21" si="6">D6+D11+D16</f>
        <v>14707848</v>
      </c>
      <c r="E21" s="59">
        <f t="shared" si="6"/>
        <v>4040008</v>
      </c>
      <c r="F21" s="59">
        <f t="shared" si="6"/>
        <v>49481103</v>
      </c>
      <c r="G21" s="59">
        <f t="shared" si="6"/>
        <v>73410</v>
      </c>
      <c r="H21" s="35">
        <f t="shared" si="6"/>
        <v>50389794</v>
      </c>
      <c r="J21" s="95">
        <v>123239107</v>
      </c>
    </row>
    <row r="22" spans="1:20" ht="15.75" customHeight="1" x14ac:dyDescent="0.2">
      <c r="A22" s="39" t="s">
        <v>21</v>
      </c>
      <c r="B22" s="43"/>
      <c r="C22" s="59"/>
      <c r="D22" s="59"/>
      <c r="E22" s="59"/>
      <c r="F22" s="59"/>
      <c r="G22" s="59"/>
      <c r="H22" s="35"/>
      <c r="J22" s="95">
        <f>B21-J21</f>
        <v>-9589</v>
      </c>
      <c r="T22" s="32"/>
    </row>
    <row r="23" spans="1:20" ht="14.25" customHeight="1" thickBot="1" x14ac:dyDescent="0.25">
      <c r="A23" s="40" t="s">
        <v>14</v>
      </c>
      <c r="B23" s="45">
        <v>10583</v>
      </c>
      <c r="C23" s="65"/>
      <c r="D23" s="107"/>
      <c r="E23" s="107"/>
      <c r="F23" s="107"/>
      <c r="G23" s="107"/>
      <c r="H23" s="108"/>
    </row>
    <row r="24" spans="1:20" ht="13.5" customHeight="1" thickBot="1" x14ac:dyDescent="0.25">
      <c r="A24" s="46"/>
      <c r="B24" s="384" t="s">
        <v>13</v>
      </c>
      <c r="C24" s="385"/>
      <c r="D24" s="385"/>
      <c r="E24" s="385"/>
      <c r="F24" s="385"/>
      <c r="G24" s="385"/>
      <c r="H24" s="386"/>
    </row>
    <row r="25" spans="1:20" ht="24.75" customHeight="1" x14ac:dyDescent="0.2">
      <c r="A25" s="47" t="s">
        <v>28</v>
      </c>
      <c r="B25" s="109">
        <f>B27+B28+B29+B26</f>
        <v>9.7539999999999996</v>
      </c>
      <c r="C25" s="110">
        <f>C26</f>
        <v>2.8969999999999998</v>
      </c>
      <c r="D25" s="110">
        <f t="shared" ref="D25:H25" si="7">D27+D28+D29+D26</f>
        <v>0.20599999999999999</v>
      </c>
      <c r="E25" s="110">
        <f>E27+E28+E29+E26</f>
        <v>3.0000000000000001E-3</v>
      </c>
      <c r="F25" s="110">
        <f t="shared" si="7"/>
        <v>5.9359999999999999</v>
      </c>
      <c r="G25" s="110">
        <f t="shared" si="7"/>
        <v>1.4E-2</v>
      </c>
      <c r="H25" s="111">
        <f t="shared" si="7"/>
        <v>0.69800000000000006</v>
      </c>
    </row>
    <row r="26" spans="1:20" x14ac:dyDescent="0.2">
      <c r="A26" s="48" t="s">
        <v>18</v>
      </c>
      <c r="B26" s="68">
        <f>SUM(C26:H26)</f>
        <v>2.8969999999999998</v>
      </c>
      <c r="C26" s="28">
        <v>2.8969999999999998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6.8289999999999997</v>
      </c>
      <c r="C27" s="28"/>
      <c r="D27" s="28">
        <v>0.20599999999999999</v>
      </c>
      <c r="E27" s="28">
        <v>3.0000000000000001E-3</v>
      </c>
      <c r="F27" s="28">
        <v>5.92</v>
      </c>
      <c r="G27" s="28">
        <v>1.4E-2</v>
      </c>
      <c r="H27" s="29">
        <v>0.68600000000000005</v>
      </c>
      <c r="J27" s="91">
        <v>6.8570000000000002</v>
      </c>
    </row>
    <row r="28" spans="1:20" x14ac:dyDescent="0.2">
      <c r="A28" s="38" t="s">
        <v>7</v>
      </c>
      <c r="B28" s="68">
        <f t="shared" ref="B28:B29" si="8">SUM(C28:H28)</f>
        <v>2.8000000000000001E-2</v>
      </c>
      <c r="C28" s="28"/>
      <c r="D28" s="28"/>
      <c r="E28" s="28"/>
      <c r="F28" s="28">
        <v>1.6E-2</v>
      </c>
      <c r="G28" s="28"/>
      <c r="H28" s="29">
        <v>1.2E-2</v>
      </c>
    </row>
    <row r="29" spans="1:20" ht="13.5" customHeight="1" thickBot="1" x14ac:dyDescent="0.25">
      <c r="A29" s="49" t="s">
        <v>8</v>
      </c>
      <c r="B29" s="68">
        <f t="shared" si="8"/>
        <v>0</v>
      </c>
      <c r="C29" s="112"/>
      <c r="D29" s="112"/>
      <c r="E29" s="112"/>
      <c r="F29" s="112"/>
      <c r="G29" s="112"/>
      <c r="H29" s="113"/>
    </row>
    <row r="30" spans="1:20" ht="13.5" customHeight="1" thickBot="1" x14ac:dyDescent="0.25">
      <c r="B30" s="11"/>
      <c r="C30" s="11"/>
      <c r="D30" s="114"/>
      <c r="E30" s="11"/>
      <c r="F30" s="11"/>
      <c r="G30" s="11"/>
      <c r="H30" s="11"/>
    </row>
    <row r="31" spans="1:20" ht="51.75" customHeight="1" x14ac:dyDescent="0.2">
      <c r="A31" s="66" t="s">
        <v>29</v>
      </c>
      <c r="B31" s="115">
        <f>SUM(B32:B37)</f>
        <v>36825392</v>
      </c>
      <c r="C31" s="115"/>
      <c r="D31" s="116"/>
      <c r="E31" s="116"/>
      <c r="F31" s="116"/>
      <c r="G31" s="116"/>
      <c r="H31" s="117"/>
    </row>
    <row r="32" spans="1:20" ht="13.5" customHeight="1" x14ac:dyDescent="0.2">
      <c r="A32" s="53" t="s">
        <v>44</v>
      </c>
      <c r="B32" s="60">
        <v>34525569</v>
      </c>
      <c r="C32" s="7"/>
      <c r="D32" s="60"/>
      <c r="E32" s="60"/>
      <c r="F32" s="60"/>
      <c r="G32" s="60"/>
      <c r="H32" s="60"/>
    </row>
    <row r="33" spans="1:8" ht="13.5" customHeight="1" x14ac:dyDescent="0.2">
      <c r="A33" s="85" t="s">
        <v>16</v>
      </c>
      <c r="B33" s="61">
        <v>414722</v>
      </c>
      <c r="C33" s="61"/>
      <c r="D33" s="60"/>
      <c r="E33" s="60"/>
      <c r="F33" s="60"/>
      <c r="G33" s="60"/>
      <c r="H33" s="60"/>
    </row>
    <row r="34" spans="1:8" ht="13.5" customHeight="1" x14ac:dyDescent="0.2">
      <c r="A34" s="84" t="s">
        <v>24</v>
      </c>
      <c r="B34" s="61">
        <v>1070922</v>
      </c>
      <c r="C34" s="61"/>
      <c r="D34" s="60"/>
      <c r="E34" s="60"/>
      <c r="F34" s="60"/>
      <c r="G34" s="60"/>
      <c r="H34" s="60"/>
    </row>
    <row r="35" spans="1:8" ht="13.5" customHeight="1" x14ac:dyDescent="0.2">
      <c r="A35" s="85" t="s">
        <v>20</v>
      </c>
      <c r="B35" s="61">
        <v>235502</v>
      </c>
      <c r="C35" s="61"/>
      <c r="D35" s="60"/>
      <c r="E35" s="60"/>
      <c r="F35" s="60"/>
      <c r="G35" s="60"/>
      <c r="H35" s="60"/>
    </row>
    <row r="36" spans="1:8" ht="13.5" customHeight="1" x14ac:dyDescent="0.2">
      <c r="A36" s="85" t="s">
        <v>22</v>
      </c>
      <c r="B36" s="61">
        <v>221778</v>
      </c>
      <c r="C36" s="61"/>
      <c r="D36" s="60"/>
      <c r="E36" s="60"/>
      <c r="F36" s="60"/>
      <c r="G36" s="60"/>
      <c r="H36" s="60"/>
    </row>
    <row r="37" spans="1:8" ht="12" customHeight="1" x14ac:dyDescent="0.2">
      <c r="A37" s="84" t="s">
        <v>42</v>
      </c>
      <c r="B37" s="118">
        <v>356899</v>
      </c>
      <c r="C37" s="119"/>
      <c r="D37" s="119"/>
      <c r="E37" s="119"/>
      <c r="F37" s="119"/>
      <c r="G37" s="119"/>
      <c r="H37" s="1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F889-4BCD-4850-B7A8-377F3C08DA03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hidden="1" customWidth="1"/>
    <col min="9" max="9" width="3.42578125" hidden="1" customWidth="1"/>
    <col min="10" max="10" width="21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8" width="9.140625" hidden="1" customWidth="1"/>
    <col min="19" max="19" width="9.140625" customWidth="1"/>
    <col min="20" max="20" width="21.85546875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44562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7512144.3314610003</v>
      </c>
      <c r="C6" s="135">
        <f>C7+C8+C9+C10</f>
        <v>25561.000001</v>
      </c>
      <c r="D6" s="131">
        <f t="shared" ref="D6:F6" si="1">D7+D8+D9+D10</f>
        <v>75420</v>
      </c>
      <c r="E6" s="131">
        <f t="shared" si="1"/>
        <v>512228.86</v>
      </c>
      <c r="F6" s="135">
        <f t="shared" si="1"/>
        <v>2891565.0424600001</v>
      </c>
      <c r="G6" s="131">
        <f>G7+G8+G9+G10</f>
        <v>0</v>
      </c>
      <c r="H6" s="172">
        <f>H7+H8+H9+H10</f>
        <v>4007369.429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7383447.33146</v>
      </c>
      <c r="C7" s="126"/>
      <c r="D7" s="127">
        <v>75420</v>
      </c>
      <c r="E7" s="127">
        <v>512228.86</v>
      </c>
      <c r="F7" s="126">
        <v>2887493.0424600001</v>
      </c>
      <c r="G7" s="126"/>
      <c r="H7" s="128">
        <v>3908305.429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53">
        <f>D8+E8+F8+G8+H8+C8</f>
        <v>99114</v>
      </c>
      <c r="C8" s="127"/>
      <c r="D8" s="127"/>
      <c r="E8" s="127">
        <v>0</v>
      </c>
      <c r="F8" s="127">
        <v>4072</v>
      </c>
      <c r="G8" s="126"/>
      <c r="H8" s="129">
        <v>95042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53">
        <f>D9+E9+F9+G9+H9+C9</f>
        <v>4022</v>
      </c>
      <c r="C9" s="127"/>
      <c r="D9" s="127"/>
      <c r="E9" s="127">
        <v>0</v>
      </c>
      <c r="F9" s="127">
        <v>0</v>
      </c>
      <c r="G9" s="126"/>
      <c r="H9" s="129">
        <v>4022</v>
      </c>
      <c r="J9" s="74" t="s">
        <v>41</v>
      </c>
      <c r="K9" s="75"/>
      <c r="L9" s="75">
        <v>0</v>
      </c>
      <c r="M9" s="75">
        <v>10200</v>
      </c>
      <c r="N9" s="75">
        <v>2825</v>
      </c>
      <c r="O9" s="75"/>
      <c r="P9" s="75"/>
      <c r="Q9" s="76">
        <f>SUM(K9:P9)</f>
        <v>13025</v>
      </c>
    </row>
    <row r="10" spans="1:18" ht="18" customHeight="1" x14ac:dyDescent="0.2">
      <c r="A10" s="175" t="s">
        <v>45</v>
      </c>
      <c r="B10" s="166">
        <f t="shared" si="0"/>
        <v>25561.000001</v>
      </c>
      <c r="C10" s="126">
        <v>25561.000001</v>
      </c>
      <c r="D10" s="126"/>
      <c r="E10" s="126"/>
      <c r="F10" s="126"/>
      <c r="G10" s="126"/>
      <c r="H10" s="130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10200</v>
      </c>
      <c r="N10" s="77">
        <f t="shared" si="2"/>
        <v>2825</v>
      </c>
      <c r="O10" s="77">
        <f t="shared" si="2"/>
        <v>0</v>
      </c>
      <c r="P10" s="77">
        <f t="shared" si="2"/>
        <v>0</v>
      </c>
      <c r="Q10" s="77">
        <f>SUM(K10:P10)</f>
        <v>13025</v>
      </c>
    </row>
    <row r="11" spans="1:18" ht="18" customHeight="1" x14ac:dyDescent="0.25">
      <c r="A11" s="176" t="s">
        <v>9</v>
      </c>
      <c r="B11" s="165">
        <f>D11+E11+F11+G11+H11+C11</f>
        <v>41290120.511200003</v>
      </c>
      <c r="C11" s="131">
        <f>C12+C13+C14+C15</f>
        <v>215944.85</v>
      </c>
      <c r="D11" s="131">
        <f t="shared" ref="D11:G11" si="3">D12+D13+D14+D15</f>
        <v>728376</v>
      </c>
      <c r="E11" s="131">
        <f t="shared" si="3"/>
        <v>105449</v>
      </c>
      <c r="F11" s="132">
        <f t="shared" si="3"/>
        <v>2604017.2311999998</v>
      </c>
      <c r="G11" s="131">
        <f t="shared" si="3"/>
        <v>7360</v>
      </c>
      <c r="H11" s="133">
        <f>H12+H13+H14+H15</f>
        <v>37628973.43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53">
        <f>D12+E12+F12+G12+H12+C12</f>
        <v>39315306.950000003</v>
      </c>
      <c r="C12" s="127"/>
      <c r="D12" s="127">
        <v>728376</v>
      </c>
      <c r="E12" s="127">
        <v>105449</v>
      </c>
      <c r="F12" s="127">
        <v>2570783.52</v>
      </c>
      <c r="G12" s="127">
        <v>7360</v>
      </c>
      <c r="H12" s="129">
        <v>35903338.43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10200</v>
      </c>
      <c r="N12" s="81">
        <f t="shared" si="4"/>
        <v>2825</v>
      </c>
      <c r="O12" s="81">
        <f t="shared" si="4"/>
        <v>0</v>
      </c>
      <c r="P12" s="81">
        <f t="shared" si="4"/>
        <v>0</v>
      </c>
      <c r="Q12" s="82">
        <f>SUM(K12:P12)</f>
        <v>13025</v>
      </c>
    </row>
    <row r="13" spans="1:18" ht="24" customHeight="1" x14ac:dyDescent="0.2">
      <c r="A13" s="177" t="s">
        <v>47</v>
      </c>
      <c r="B13" s="154">
        <f t="shared" si="0"/>
        <v>1660022.7112</v>
      </c>
      <c r="C13" s="127"/>
      <c r="D13" s="127">
        <v>0</v>
      </c>
      <c r="E13" s="127">
        <v>0</v>
      </c>
      <c r="F13" s="134">
        <v>33233.711199999998</v>
      </c>
      <c r="G13" s="126"/>
      <c r="H13" s="129">
        <v>1626789</v>
      </c>
      <c r="Q13" s="91"/>
      <c r="R13" s="105"/>
    </row>
    <row r="14" spans="1:18" ht="24" customHeight="1" x14ac:dyDescent="0.2">
      <c r="A14" s="177" t="s">
        <v>48</v>
      </c>
      <c r="B14" s="153">
        <f t="shared" si="0"/>
        <v>98846</v>
      </c>
      <c r="C14" s="127"/>
      <c r="D14" s="127">
        <v>0</v>
      </c>
      <c r="E14" s="127">
        <v>0</v>
      </c>
      <c r="F14" s="127">
        <v>0</v>
      </c>
      <c r="G14" s="126"/>
      <c r="H14" s="129">
        <v>98846</v>
      </c>
      <c r="Q14" s="32"/>
    </row>
    <row r="15" spans="1:18" ht="18" customHeight="1" x14ac:dyDescent="0.2">
      <c r="A15" s="173" t="s">
        <v>45</v>
      </c>
      <c r="B15" s="153">
        <f t="shared" si="0"/>
        <v>215944.85</v>
      </c>
      <c r="C15" s="127">
        <v>215944.85</v>
      </c>
      <c r="D15" s="126"/>
      <c r="E15" s="126"/>
      <c r="F15" s="126"/>
      <c r="G15" s="126"/>
      <c r="H15" s="130"/>
    </row>
    <row r="16" spans="1:18" ht="18" customHeight="1" x14ac:dyDescent="0.2">
      <c r="A16" s="176" t="s">
        <v>10</v>
      </c>
      <c r="B16" s="165">
        <f>D16+E16+F16+G16+H16+C16</f>
        <v>78525431.362286001</v>
      </c>
      <c r="C16" s="135">
        <f t="shared" ref="C16:H16" si="5">C17+C18+C19+C20</f>
        <v>4097863.9468540004</v>
      </c>
      <c r="D16" s="135">
        <f t="shared" si="5"/>
        <v>14040213.367404999</v>
      </c>
      <c r="E16" s="135">
        <f t="shared" si="5"/>
        <v>3324567.6679159999</v>
      </c>
      <c r="F16" s="135">
        <f t="shared" si="5"/>
        <v>45470120.031865001</v>
      </c>
      <c r="G16" s="136">
        <f t="shared" si="5"/>
        <v>57945.483</v>
      </c>
      <c r="H16" s="137">
        <f t="shared" si="5"/>
        <v>11534720.865246002</v>
      </c>
    </row>
    <row r="17" spans="1:20" ht="18" customHeight="1" x14ac:dyDescent="0.2">
      <c r="A17" s="173" t="s">
        <v>46</v>
      </c>
      <c r="B17" s="166">
        <f t="shared" si="0"/>
        <v>73386568.953005001</v>
      </c>
      <c r="C17" s="126"/>
      <c r="D17" s="126">
        <v>14040213.367404999</v>
      </c>
      <c r="E17" s="126">
        <v>3313490.4045839999</v>
      </c>
      <c r="F17" s="126">
        <v>45015927.662913002</v>
      </c>
      <c r="G17" s="138">
        <v>57945.483</v>
      </c>
      <c r="H17" s="130">
        <f>10972017.035103-13025</f>
        <v>10958992.035103001</v>
      </c>
    </row>
    <row r="18" spans="1:20" ht="24" customHeight="1" x14ac:dyDescent="0.2">
      <c r="A18" s="177" t="s">
        <v>47</v>
      </c>
      <c r="B18" s="166">
        <f t="shared" si="0"/>
        <v>943220.46242700005</v>
      </c>
      <c r="C18" s="126"/>
      <c r="D18" s="127">
        <v>0</v>
      </c>
      <c r="E18" s="126">
        <v>11077.263332</v>
      </c>
      <c r="F18" s="126">
        <v>382527.36895199999</v>
      </c>
      <c r="G18" s="127">
        <v>0</v>
      </c>
      <c r="H18" s="130">
        <v>549615.830143</v>
      </c>
    </row>
    <row r="19" spans="1:20" ht="24" customHeight="1" x14ac:dyDescent="0.2">
      <c r="A19" s="177" t="s">
        <v>48</v>
      </c>
      <c r="B19" s="153">
        <f t="shared" si="0"/>
        <v>97778</v>
      </c>
      <c r="C19" s="126"/>
      <c r="D19" s="127">
        <v>0</v>
      </c>
      <c r="E19" s="127">
        <v>0</v>
      </c>
      <c r="F19" s="127">
        <v>71665</v>
      </c>
      <c r="G19" s="127">
        <v>0</v>
      </c>
      <c r="H19" s="129">
        <v>26113</v>
      </c>
    </row>
    <row r="20" spans="1:20" ht="18" customHeight="1" x14ac:dyDescent="0.2">
      <c r="A20" s="173" t="s">
        <v>45</v>
      </c>
      <c r="B20" s="166">
        <f t="shared" si="0"/>
        <v>4097863.9468540004</v>
      </c>
      <c r="C20" s="126">
        <v>4097863.9468540004</v>
      </c>
      <c r="D20" s="126"/>
      <c r="E20" s="126"/>
      <c r="F20" s="126"/>
      <c r="G20" s="126"/>
      <c r="H20" s="130"/>
      <c r="J20" s="95"/>
    </row>
    <row r="21" spans="1:20" ht="18" customHeight="1" x14ac:dyDescent="0.2">
      <c r="A21" s="176" t="s">
        <v>11</v>
      </c>
      <c r="B21" s="165">
        <f>D21+E21+F21+G21+H21+C21</f>
        <v>127327696.20494699</v>
      </c>
      <c r="C21" s="135">
        <f>C6+C11+C16</f>
        <v>4339369.7968550008</v>
      </c>
      <c r="D21" s="135">
        <f t="shared" ref="D21:H21" si="6">D6+D11+D16</f>
        <v>14844009.367404999</v>
      </c>
      <c r="E21" s="135">
        <f t="shared" si="6"/>
        <v>3942245.5279159998</v>
      </c>
      <c r="F21" s="135">
        <f t="shared" si="6"/>
        <v>50965702.305525005</v>
      </c>
      <c r="G21" s="136">
        <f t="shared" si="6"/>
        <v>65305.483</v>
      </c>
      <c r="H21" s="137">
        <f t="shared" si="6"/>
        <v>53171063.724245995</v>
      </c>
      <c r="J21" s="120">
        <v>127340721.20494701</v>
      </c>
    </row>
    <row r="22" spans="1:20" ht="18" customHeight="1" x14ac:dyDescent="0.2">
      <c r="A22" s="176" t="s">
        <v>21</v>
      </c>
      <c r="B22" s="167"/>
      <c r="C22" s="139"/>
      <c r="D22" s="139"/>
      <c r="E22" s="139"/>
      <c r="F22" s="139"/>
      <c r="G22" s="139"/>
      <c r="H22" s="140"/>
      <c r="J22" s="120">
        <f>B21-J21</f>
        <v>-13025.000000014901</v>
      </c>
      <c r="T22" s="32"/>
    </row>
    <row r="23" spans="1:20" ht="18" customHeight="1" thickBot="1" x14ac:dyDescent="0.25">
      <c r="A23" s="185" t="s">
        <v>14</v>
      </c>
      <c r="B23" s="186">
        <v>12934</v>
      </c>
      <c r="C23" s="141"/>
      <c r="D23" s="142"/>
      <c r="E23" s="142"/>
      <c r="F23" s="142"/>
      <c r="G23" s="142"/>
      <c r="H23" s="143"/>
    </row>
    <row r="24" spans="1:20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156"/>
    </row>
    <row r="25" spans="1:20" ht="18" customHeight="1" x14ac:dyDescent="0.2">
      <c r="A25" s="124" t="s">
        <v>28</v>
      </c>
      <c r="B25" s="144">
        <f>B27+B28+B29+B26</f>
        <v>9.9765673729999982</v>
      </c>
      <c r="C25" s="144">
        <f>C26</f>
        <v>2.7870745829999999</v>
      </c>
      <c r="D25" s="144">
        <f t="shared" ref="D25:H25" si="7">D27+D28+D29+D26</f>
        <v>0.62540467</v>
      </c>
      <c r="E25" s="144">
        <f>E27+E28+E29+E26</f>
        <v>3.578683E-3</v>
      </c>
      <c r="F25" s="144">
        <f t="shared" si="7"/>
        <v>5.8664032380000002</v>
      </c>
      <c r="G25" s="144">
        <f t="shared" si="7"/>
        <v>1.2718108000000001E-2</v>
      </c>
      <c r="H25" s="145">
        <f t="shared" si="7"/>
        <v>0.68138809099999997</v>
      </c>
    </row>
    <row r="26" spans="1:20" ht="18" customHeight="1" x14ac:dyDescent="0.2">
      <c r="A26" s="179" t="s">
        <v>45</v>
      </c>
      <c r="B26" s="168">
        <f>SUM(C26:H26)</f>
        <v>2.7870745829999999</v>
      </c>
      <c r="C26" s="169">
        <v>2.7870745829999999</v>
      </c>
      <c r="D26" s="169"/>
      <c r="E26" s="169"/>
      <c r="F26" s="169"/>
      <c r="G26" s="169"/>
      <c r="H26" s="180"/>
      <c r="J26" s="121"/>
    </row>
    <row r="27" spans="1:20" ht="18" customHeight="1" x14ac:dyDescent="0.2">
      <c r="A27" s="173" t="s">
        <v>46</v>
      </c>
      <c r="B27" s="168">
        <f>SUM(C27:H27)</f>
        <v>7.1572844599999996</v>
      </c>
      <c r="C27" s="169"/>
      <c r="D27" s="169">
        <v>0.62540467</v>
      </c>
      <c r="E27" s="169">
        <v>3.578683E-3</v>
      </c>
      <c r="F27" s="169">
        <v>5.8451929549999999</v>
      </c>
      <c r="G27" s="169">
        <v>1.2718108000000001E-2</v>
      </c>
      <c r="H27" s="180">
        <v>0.67039004400000002</v>
      </c>
      <c r="J27" s="91">
        <v>7.1894927899999992</v>
      </c>
    </row>
    <row r="28" spans="1:20" ht="24" customHeight="1" x14ac:dyDescent="0.2">
      <c r="A28" s="177" t="s">
        <v>47</v>
      </c>
      <c r="B28" s="168">
        <f t="shared" ref="B28:B29" si="8">SUM(C28:H28)</f>
        <v>3.220833E-2</v>
      </c>
      <c r="C28" s="169"/>
      <c r="D28" s="169"/>
      <c r="E28" s="169"/>
      <c r="F28" s="169">
        <v>2.1210283E-2</v>
      </c>
      <c r="G28" s="169"/>
      <c r="H28" s="180">
        <v>1.0998047E-2</v>
      </c>
      <c r="J28" s="121">
        <f>B27+B28-J27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61"/>
      <c r="C30" s="161"/>
      <c r="D30" s="162"/>
      <c r="E30" s="161"/>
      <c r="F30" s="161"/>
      <c r="G30" s="161"/>
      <c r="H30" s="182"/>
    </row>
    <row r="31" spans="1:20" ht="51.75" customHeight="1" x14ac:dyDescent="0.2">
      <c r="A31" s="124" t="s">
        <v>29</v>
      </c>
      <c r="B31" s="125">
        <f>SUM(B32:B37)</f>
        <v>33621565.010453999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31228543.970022999</v>
      </c>
      <c r="C32" s="7"/>
      <c r="D32" s="60"/>
      <c r="E32" s="60"/>
      <c r="F32" s="60"/>
      <c r="G32" s="60"/>
      <c r="H32" s="88"/>
    </row>
    <row r="33" spans="1:8" ht="24" customHeight="1" x14ac:dyDescent="0.2">
      <c r="A33" s="148" t="s">
        <v>49</v>
      </c>
      <c r="B33" s="157">
        <v>440904</v>
      </c>
      <c r="C33" s="61"/>
      <c r="D33" s="60"/>
      <c r="E33" s="60"/>
      <c r="F33" s="60"/>
      <c r="G33" s="60"/>
      <c r="H33" s="88"/>
    </row>
    <row r="34" spans="1:8" ht="18" customHeight="1" x14ac:dyDescent="0.2">
      <c r="A34" s="149" t="s">
        <v>24</v>
      </c>
      <c r="B34" s="158">
        <v>1189134.7408</v>
      </c>
      <c r="C34" s="61"/>
      <c r="D34" s="60"/>
      <c r="E34" s="60"/>
      <c r="F34" s="60"/>
      <c r="G34" s="60"/>
      <c r="H34" s="88"/>
    </row>
    <row r="35" spans="1:8" ht="18" customHeight="1" x14ac:dyDescent="0.2">
      <c r="A35" s="150" t="s">
        <v>20</v>
      </c>
      <c r="B35" s="159">
        <v>308903.39500000002</v>
      </c>
      <c r="C35" s="61"/>
      <c r="D35" s="60"/>
      <c r="E35" s="60"/>
      <c r="F35" s="60"/>
      <c r="G35" s="60"/>
      <c r="H35" s="88"/>
    </row>
    <row r="36" spans="1:8" ht="18" customHeight="1" x14ac:dyDescent="0.2">
      <c r="A36" s="150" t="s">
        <v>22</v>
      </c>
      <c r="B36" s="158">
        <v>98648.864300000001</v>
      </c>
      <c r="C36" s="61"/>
      <c r="D36" s="60"/>
      <c r="E36" s="60"/>
      <c r="F36" s="60"/>
      <c r="G36" s="60"/>
      <c r="H36" s="88"/>
    </row>
    <row r="37" spans="1:8" ht="18" customHeight="1" thickBot="1" x14ac:dyDescent="0.25">
      <c r="A37" s="151" t="s">
        <v>42</v>
      </c>
      <c r="B37" s="160">
        <v>355430.040331</v>
      </c>
      <c r="C37" s="122"/>
      <c r="D37" s="122"/>
      <c r="E37" s="122"/>
      <c r="F37" s="122"/>
      <c r="G37" s="122"/>
      <c r="H37" s="123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EA58-8186-497C-B161-2C5C094367BC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hidden="1" customWidth="1"/>
    <col min="20" max="20" width="21.8554687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44593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7039086.2500209995</v>
      </c>
      <c r="C6" s="136">
        <f>C7+C8+C9+C10</f>
        <v>14420</v>
      </c>
      <c r="D6" s="136">
        <f t="shared" ref="D6:F6" si="1">D7+D8+D9+D10</f>
        <v>69982</v>
      </c>
      <c r="E6" s="136">
        <f t="shared" si="1"/>
        <v>444065.1</v>
      </c>
      <c r="F6" s="135">
        <f t="shared" si="1"/>
        <v>2678499.7130209995</v>
      </c>
      <c r="G6" s="136">
        <f>G7+G8+G9+G10</f>
        <v>0</v>
      </c>
      <c r="H6" s="172">
        <f>H7+H8+H9+H10</f>
        <v>3832119.4369999995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6926763.2500209995</v>
      </c>
      <c r="C7" s="152"/>
      <c r="D7" s="208">
        <v>69982</v>
      </c>
      <c r="E7" s="208">
        <v>444065.1</v>
      </c>
      <c r="F7" s="152">
        <v>2671904.7130209995</v>
      </c>
      <c r="G7" s="152"/>
      <c r="H7" s="207">
        <v>3740811.4369999995</v>
      </c>
      <c r="J7" s="187"/>
      <c r="K7" s="188" t="s">
        <v>33</v>
      </c>
      <c r="L7" s="188" t="s">
        <v>34</v>
      </c>
      <c r="M7" s="188" t="s">
        <v>35</v>
      </c>
      <c r="N7" s="188" t="s">
        <v>36</v>
      </c>
      <c r="O7" s="188" t="s">
        <v>37</v>
      </c>
      <c r="P7" s="188" t="s">
        <v>38</v>
      </c>
      <c r="Q7" s="188" t="s">
        <v>39</v>
      </c>
    </row>
    <row r="8" spans="1:18" ht="24" customHeight="1" x14ac:dyDescent="0.2">
      <c r="A8" s="174" t="s">
        <v>47</v>
      </c>
      <c r="B8" s="203">
        <f>D8+E8+F8+G8+H8+C8</f>
        <v>93099</v>
      </c>
      <c r="C8" s="152"/>
      <c r="D8" s="152"/>
      <c r="E8" s="208">
        <v>0</v>
      </c>
      <c r="F8" s="208">
        <v>6595</v>
      </c>
      <c r="G8" s="209"/>
      <c r="H8" s="207">
        <v>86504</v>
      </c>
      <c r="J8" s="189" t="s">
        <v>40</v>
      </c>
      <c r="K8" s="75"/>
      <c r="L8" s="75">
        <v>0</v>
      </c>
      <c r="M8" s="75"/>
      <c r="N8" s="75"/>
      <c r="O8" s="75"/>
      <c r="P8" s="75"/>
      <c r="Q8" s="190">
        <f>SUM(K8:P8)</f>
        <v>0</v>
      </c>
    </row>
    <row r="9" spans="1:18" ht="24" customHeight="1" x14ac:dyDescent="0.2">
      <c r="A9" s="174" t="s">
        <v>48</v>
      </c>
      <c r="B9" s="203">
        <f>D9+E9+F9+G9+H9+C9</f>
        <v>4804</v>
      </c>
      <c r="C9" s="152"/>
      <c r="D9" s="152"/>
      <c r="E9" s="208">
        <v>0</v>
      </c>
      <c r="F9" s="208">
        <v>0</v>
      </c>
      <c r="G9" s="209"/>
      <c r="H9" s="207">
        <v>4804</v>
      </c>
      <c r="J9" s="189" t="s">
        <v>41</v>
      </c>
      <c r="K9" s="75"/>
      <c r="L9" s="75">
        <v>0</v>
      </c>
      <c r="M9" s="75">
        <v>8688</v>
      </c>
      <c r="N9" s="75">
        <v>2011</v>
      </c>
      <c r="O9" s="75"/>
      <c r="P9" s="75"/>
      <c r="Q9" s="190">
        <f>SUM(K9:P9)</f>
        <v>10699</v>
      </c>
    </row>
    <row r="10" spans="1:18" ht="18" customHeight="1" x14ac:dyDescent="0.2">
      <c r="A10" s="173" t="s">
        <v>45</v>
      </c>
      <c r="B10" s="203">
        <f t="shared" si="0"/>
        <v>14420</v>
      </c>
      <c r="C10" s="208">
        <v>14420</v>
      </c>
      <c r="D10" s="152"/>
      <c r="E10" s="152"/>
      <c r="F10" s="152"/>
      <c r="G10" s="152"/>
      <c r="H10" s="196"/>
      <c r="J10" s="189" t="s">
        <v>1</v>
      </c>
      <c r="K10" s="191">
        <f t="shared" ref="K10:P10" si="2">K8+K9</f>
        <v>0</v>
      </c>
      <c r="L10" s="191">
        <f t="shared" si="2"/>
        <v>0</v>
      </c>
      <c r="M10" s="191">
        <f t="shared" si="2"/>
        <v>8688</v>
      </c>
      <c r="N10" s="191">
        <f t="shared" si="2"/>
        <v>2011</v>
      </c>
      <c r="O10" s="191">
        <f t="shared" si="2"/>
        <v>0</v>
      </c>
      <c r="P10" s="191">
        <f t="shared" si="2"/>
        <v>0</v>
      </c>
      <c r="Q10" s="191">
        <f>SUM(K10:P10)</f>
        <v>10699</v>
      </c>
    </row>
    <row r="11" spans="1:18" ht="18" customHeight="1" x14ac:dyDescent="0.2">
      <c r="A11" s="176" t="s">
        <v>9</v>
      </c>
      <c r="B11" s="210">
        <f>D11+E11+F11+G11+H11+C11</f>
        <v>39779290.056999989</v>
      </c>
      <c r="C11" s="136">
        <f>C12+C13+C14+C15</f>
        <v>206155.49000000002</v>
      </c>
      <c r="D11" s="136">
        <f t="shared" ref="D11:G11" si="3">D12+D13+D14+D15</f>
        <v>674406</v>
      </c>
      <c r="E11" s="136">
        <f t="shared" si="3"/>
        <v>105302</v>
      </c>
      <c r="F11" s="136">
        <f t="shared" si="3"/>
        <v>2447336.415</v>
      </c>
      <c r="G11" s="136">
        <f t="shared" si="3"/>
        <v>8000</v>
      </c>
      <c r="H11" s="172">
        <f>H12+H13+H14+H15</f>
        <v>36338090.151999988</v>
      </c>
      <c r="J11" s="189"/>
      <c r="K11" s="78"/>
      <c r="L11" s="78"/>
      <c r="M11" s="78"/>
      <c r="N11" s="78"/>
      <c r="O11" s="78"/>
      <c r="P11" s="78"/>
      <c r="Q11" s="192">
        <f>SUM(L11:P11)</f>
        <v>0</v>
      </c>
    </row>
    <row r="12" spans="1:18" ht="18" customHeight="1" x14ac:dyDescent="0.2">
      <c r="A12" s="173" t="s">
        <v>46</v>
      </c>
      <c r="B12" s="203">
        <f>D12+E12+F12+G12+H12+C12</f>
        <v>37955276.106999986</v>
      </c>
      <c r="C12" s="152"/>
      <c r="D12" s="208">
        <v>674406</v>
      </c>
      <c r="E12" s="208">
        <v>105302</v>
      </c>
      <c r="F12" s="208">
        <v>2414595.9550000001</v>
      </c>
      <c r="G12" s="208">
        <v>8000</v>
      </c>
      <c r="H12" s="207">
        <v>34752972.151999988</v>
      </c>
      <c r="J12" s="193" t="s">
        <v>39</v>
      </c>
      <c r="K12" s="194">
        <f t="shared" ref="K12:P12" si="4">K10+K11</f>
        <v>0</v>
      </c>
      <c r="L12" s="194">
        <f t="shared" si="4"/>
        <v>0</v>
      </c>
      <c r="M12" s="194">
        <f t="shared" si="4"/>
        <v>8688</v>
      </c>
      <c r="N12" s="194">
        <f t="shared" si="4"/>
        <v>2011</v>
      </c>
      <c r="O12" s="194">
        <f t="shared" si="4"/>
        <v>0</v>
      </c>
      <c r="P12" s="194">
        <f t="shared" si="4"/>
        <v>0</v>
      </c>
      <c r="Q12" s="195">
        <f>SUM(K12:P12)</f>
        <v>10699</v>
      </c>
    </row>
    <row r="13" spans="1:18" ht="24" customHeight="1" x14ac:dyDescent="0.2">
      <c r="A13" s="177" t="s">
        <v>47</v>
      </c>
      <c r="B13" s="203">
        <f t="shared" si="0"/>
        <v>1525871.46</v>
      </c>
      <c r="C13" s="152"/>
      <c r="D13" s="208">
        <v>0</v>
      </c>
      <c r="E13" s="208">
        <v>0</v>
      </c>
      <c r="F13" s="208">
        <v>32740.46</v>
      </c>
      <c r="G13" s="152"/>
      <c r="H13" s="207">
        <v>1493131</v>
      </c>
      <c r="Q13" s="91"/>
      <c r="R13" s="105"/>
    </row>
    <row r="14" spans="1:18" ht="24" customHeight="1" x14ac:dyDescent="0.2">
      <c r="A14" s="177" t="s">
        <v>48</v>
      </c>
      <c r="B14" s="203">
        <f t="shared" si="0"/>
        <v>91987</v>
      </c>
      <c r="C14" s="152"/>
      <c r="D14" s="208">
        <v>0</v>
      </c>
      <c r="E14" s="208">
        <v>0</v>
      </c>
      <c r="F14" s="208">
        <v>0</v>
      </c>
      <c r="G14" s="152"/>
      <c r="H14" s="207">
        <v>91987</v>
      </c>
      <c r="Q14" s="32"/>
    </row>
    <row r="15" spans="1:18" ht="18" customHeight="1" x14ac:dyDescent="0.2">
      <c r="A15" s="173" t="s">
        <v>45</v>
      </c>
      <c r="B15" s="203">
        <f t="shared" si="0"/>
        <v>206155.49000000002</v>
      </c>
      <c r="C15" s="208">
        <v>206155.49000000002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72262342.936369076</v>
      </c>
      <c r="C16" s="135">
        <f t="shared" ref="C16:H16" si="5">C17+C18+C19+C20</f>
        <v>3639911.717834</v>
      </c>
      <c r="D16" s="135">
        <f t="shared" si="5"/>
        <v>13138286.866558997</v>
      </c>
      <c r="E16" s="135">
        <f t="shared" si="5"/>
        <v>3032673.0792169999</v>
      </c>
      <c r="F16" s="135">
        <f t="shared" si="5"/>
        <v>41909105.425605074</v>
      </c>
      <c r="G16" s="136">
        <f t="shared" si="5"/>
        <v>56129.596999999994</v>
      </c>
      <c r="H16" s="137">
        <f t="shared" si="5"/>
        <v>10486236.250154002</v>
      </c>
    </row>
    <row r="17" spans="1:20" ht="18" customHeight="1" x14ac:dyDescent="0.2">
      <c r="A17" s="173" t="s">
        <v>46</v>
      </c>
      <c r="B17" s="166">
        <f t="shared" si="0"/>
        <v>67643359.753998071</v>
      </c>
      <c r="C17" s="152"/>
      <c r="D17" s="152">
        <v>13138286.866558997</v>
      </c>
      <c r="E17" s="152">
        <v>3018309.2557930001</v>
      </c>
      <c r="F17" s="152">
        <v>41467017.817744076</v>
      </c>
      <c r="G17" s="208">
        <v>56129.596999999994</v>
      </c>
      <c r="H17" s="196">
        <f>9974315.216902-10699</f>
        <v>9963616.2169020008</v>
      </c>
      <c r="I17" s="11"/>
    </row>
    <row r="18" spans="1:20" ht="24" customHeight="1" x14ac:dyDescent="0.2">
      <c r="A18" s="177" t="s">
        <v>47</v>
      </c>
      <c r="B18" s="166">
        <f t="shared" si="0"/>
        <v>873108.68453700002</v>
      </c>
      <c r="C18" s="152"/>
      <c r="D18" s="208">
        <v>0</v>
      </c>
      <c r="E18" s="152">
        <v>14363.823423999998</v>
      </c>
      <c r="F18" s="152">
        <v>359239.12786100002</v>
      </c>
      <c r="G18" s="208">
        <v>0</v>
      </c>
      <c r="H18" s="196">
        <v>499505.73325200006</v>
      </c>
    </row>
    <row r="19" spans="1:20" ht="24" customHeight="1" x14ac:dyDescent="0.2">
      <c r="A19" s="177" t="s">
        <v>48</v>
      </c>
      <c r="B19" s="203">
        <f t="shared" si="0"/>
        <v>105962.78</v>
      </c>
      <c r="C19" s="152"/>
      <c r="D19" s="208">
        <v>0</v>
      </c>
      <c r="E19" s="208">
        <v>0</v>
      </c>
      <c r="F19" s="208">
        <v>82848.479999999996</v>
      </c>
      <c r="G19" s="208">
        <v>0</v>
      </c>
      <c r="H19" s="207">
        <v>23114.3</v>
      </c>
    </row>
    <row r="20" spans="1:20" ht="18" customHeight="1" x14ac:dyDescent="0.2">
      <c r="A20" s="173" t="s">
        <v>45</v>
      </c>
      <c r="B20" s="166">
        <f t="shared" si="0"/>
        <v>3639911.717834</v>
      </c>
      <c r="C20" s="152">
        <v>3639911.717834</v>
      </c>
      <c r="D20" s="152"/>
      <c r="E20" s="152"/>
      <c r="F20" s="152"/>
      <c r="G20" s="152"/>
      <c r="H20" s="196"/>
      <c r="J20" s="95"/>
    </row>
    <row r="21" spans="1:20" ht="18" customHeight="1" x14ac:dyDescent="0.2">
      <c r="A21" s="176" t="s">
        <v>11</v>
      </c>
      <c r="B21" s="165">
        <f>D21+E21+F21+G21+H21+C21</f>
        <v>119080719.24339007</v>
      </c>
      <c r="C21" s="135">
        <f>C6+C11+C16</f>
        <v>3860487.2078340002</v>
      </c>
      <c r="D21" s="135">
        <f t="shared" ref="D21:H21" si="6">D6+D11+D16</f>
        <v>13882674.866558997</v>
      </c>
      <c r="E21" s="135">
        <f t="shared" si="6"/>
        <v>3582040.179217</v>
      </c>
      <c r="F21" s="135">
        <f t="shared" si="6"/>
        <v>47034941.553626075</v>
      </c>
      <c r="G21" s="136">
        <f t="shared" si="6"/>
        <v>64129.596999999994</v>
      </c>
      <c r="H21" s="137">
        <f t="shared" si="6"/>
        <v>50656445.83915399</v>
      </c>
      <c r="J21" s="120">
        <v>119091418.24338999</v>
      </c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-10698.999999925494</v>
      </c>
      <c r="T22" s="32"/>
    </row>
    <row r="23" spans="1:20" ht="18" customHeight="1" thickBot="1" x14ac:dyDescent="0.25">
      <c r="A23" s="185" t="s">
        <v>14</v>
      </c>
      <c r="B23" s="186">
        <v>7699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156"/>
    </row>
    <row r="25" spans="1:20" ht="18" customHeight="1" x14ac:dyDescent="0.2">
      <c r="A25" s="124" t="s">
        <v>28</v>
      </c>
      <c r="B25" s="144">
        <f>B27+B28+B29+B26</f>
        <v>9.7030863720000013</v>
      </c>
      <c r="C25" s="144">
        <f>C26</f>
        <v>3.216700586</v>
      </c>
      <c r="D25" s="144">
        <f t="shared" ref="D25:H25" si="7">D27+D28+D29+D26</f>
        <v>0.58082313500000005</v>
      </c>
      <c r="E25" s="144">
        <f>E27+E28+E29+E26</f>
        <v>2.699758E-3</v>
      </c>
      <c r="F25" s="144">
        <f t="shared" si="7"/>
        <v>5.6546222080000001</v>
      </c>
      <c r="G25" s="144">
        <f t="shared" si="7"/>
        <v>1.2170267E-2</v>
      </c>
      <c r="H25" s="145">
        <f t="shared" si="7"/>
        <v>0.236070418</v>
      </c>
    </row>
    <row r="26" spans="1:20" ht="18" customHeight="1" x14ac:dyDescent="0.2">
      <c r="A26" s="179" t="s">
        <v>45</v>
      </c>
      <c r="B26" s="168">
        <f>SUM(C26:H26)</f>
        <v>3.216700586</v>
      </c>
      <c r="C26" s="169">
        <v>3.216700586</v>
      </c>
      <c r="D26" s="169"/>
      <c r="E26" s="169"/>
      <c r="F26" s="169"/>
      <c r="G26" s="169"/>
      <c r="H26" s="180"/>
      <c r="J26" s="121">
        <v>3.216700586</v>
      </c>
      <c r="K26" s="211"/>
    </row>
    <row r="27" spans="1:20" ht="18" customHeight="1" x14ac:dyDescent="0.2">
      <c r="A27" s="173" t="s">
        <v>46</v>
      </c>
      <c r="B27" s="168">
        <f>SUM(C27:H27)</f>
        <v>6.4574829410000003</v>
      </c>
      <c r="C27" s="169"/>
      <c r="D27" s="169">
        <v>0.58082313500000005</v>
      </c>
      <c r="E27" s="169">
        <v>2.699758E-3</v>
      </c>
      <c r="F27" s="169">
        <v>5.636407524</v>
      </c>
      <c r="G27" s="169">
        <v>1.2170267E-2</v>
      </c>
      <c r="H27" s="180">
        <v>0.225382257</v>
      </c>
      <c r="J27" s="91">
        <v>6.4863857860000005</v>
      </c>
    </row>
    <row r="28" spans="1:20" ht="24" customHeight="1" x14ac:dyDescent="0.2">
      <c r="A28" s="177" t="s">
        <v>47</v>
      </c>
      <c r="B28" s="168">
        <f t="shared" ref="B28:B29" si="8">SUM(C28:H28)</f>
        <v>2.8902844999999996E-2</v>
      </c>
      <c r="C28" s="169"/>
      <c r="D28" s="169"/>
      <c r="E28" s="169"/>
      <c r="F28" s="169">
        <v>1.8214683999999998E-2</v>
      </c>
      <c r="G28" s="169"/>
      <c r="H28" s="180">
        <v>1.0688161E-2</v>
      </c>
      <c r="J28" s="121">
        <f>J26+J27-B25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20" ht="51.75" customHeight="1" x14ac:dyDescent="0.2">
      <c r="A31" s="124" t="s">
        <v>29</v>
      </c>
      <c r="B31" s="125">
        <f>SUM(B32:B37)</f>
        <v>23414245.016405005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21436239.005601</v>
      </c>
      <c r="C32" s="60"/>
      <c r="D32" s="60"/>
      <c r="E32" s="60"/>
      <c r="F32" s="60"/>
      <c r="G32" s="60"/>
      <c r="H32" s="88"/>
      <c r="J32" s="91">
        <v>21436239.005601</v>
      </c>
    </row>
    <row r="33" spans="1:10" ht="24" customHeight="1" x14ac:dyDescent="0.2">
      <c r="A33" s="148" t="s">
        <v>49</v>
      </c>
      <c r="B33" s="200">
        <v>412415.861997</v>
      </c>
      <c r="C33" s="61"/>
      <c r="D33" s="60"/>
      <c r="E33" s="60"/>
      <c r="F33" s="60"/>
      <c r="G33" s="60"/>
      <c r="H33" s="88"/>
      <c r="J33" s="120">
        <v>1978006.0108040001</v>
      </c>
    </row>
    <row r="34" spans="1:10" ht="18" customHeight="1" x14ac:dyDescent="0.2">
      <c r="A34" s="149" t="s">
        <v>24</v>
      </c>
      <c r="B34" s="158">
        <v>1094445.7952000001</v>
      </c>
      <c r="C34" s="61"/>
      <c r="D34" s="60"/>
      <c r="E34" s="60"/>
      <c r="F34" s="60"/>
      <c r="G34" s="60"/>
      <c r="H34" s="88"/>
      <c r="J34" s="120">
        <f>J32+J33-B31</f>
        <v>0</v>
      </c>
    </row>
    <row r="35" spans="1:10" ht="18" customHeight="1" x14ac:dyDescent="0.2">
      <c r="A35" s="150" t="s">
        <v>20</v>
      </c>
      <c r="B35" s="159">
        <v>131083.82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159">
        <v>56434.235999999997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283626.29760699999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0D3A-E89C-492A-A671-EA21F417BD97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2" width="17.7109375" hidden="1" customWidth="1"/>
    <col min="13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44621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6612688.3920000019</v>
      </c>
      <c r="C6" s="136">
        <f>C7+C8+C9+C10</f>
        <v>19996.2</v>
      </c>
      <c r="D6" s="136">
        <f t="shared" ref="D6:F6" si="1">D7+D8+D9+D10</f>
        <v>71902</v>
      </c>
      <c r="E6" s="136">
        <f t="shared" si="1"/>
        <v>495972.57999999996</v>
      </c>
      <c r="F6" s="135">
        <f t="shared" si="1"/>
        <v>2482321.2710200008</v>
      </c>
      <c r="G6" s="136">
        <f>G7+G8+G9+G10</f>
        <v>0</v>
      </c>
      <c r="H6" s="172">
        <f>H7+H8+H9+H10</f>
        <v>3542496.3409800008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6477603.1920000017</v>
      </c>
      <c r="C7" s="152"/>
      <c r="D7" s="208">
        <v>71902</v>
      </c>
      <c r="E7" s="208">
        <v>495972.57999999996</v>
      </c>
      <c r="F7" s="152">
        <v>2476280.2710200008</v>
      </c>
      <c r="G7" s="152"/>
      <c r="H7" s="207">
        <v>3433448.3409800008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203">
        <f>D8+E8+F8+G8+H8+C8</f>
        <v>111222</v>
      </c>
      <c r="C8" s="152"/>
      <c r="D8" s="152"/>
      <c r="E8" s="208"/>
      <c r="F8" s="208">
        <v>6041</v>
      </c>
      <c r="G8" s="209"/>
      <c r="H8" s="207">
        <v>105181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203">
        <f>D9+E9+F9+G9+H9+C9</f>
        <v>3867</v>
      </c>
      <c r="C9" s="152"/>
      <c r="D9" s="152"/>
      <c r="E9" s="208"/>
      <c r="F9" s="208"/>
      <c r="G9" s="209"/>
      <c r="H9" s="207">
        <v>3867</v>
      </c>
      <c r="J9" s="74" t="s">
        <v>41</v>
      </c>
      <c r="K9" s="75"/>
      <c r="L9" s="75">
        <v>0</v>
      </c>
      <c r="M9" s="75">
        <v>8579.9999999999727</v>
      </c>
      <c r="N9" s="75">
        <v>3808</v>
      </c>
      <c r="O9" s="75"/>
      <c r="P9" s="75"/>
      <c r="Q9" s="76">
        <f>SUM(K9:P9)</f>
        <v>12387.999999999973</v>
      </c>
    </row>
    <row r="10" spans="1:18" ht="18" customHeight="1" x14ac:dyDescent="0.2">
      <c r="A10" s="173" t="s">
        <v>45</v>
      </c>
      <c r="B10" s="203">
        <f t="shared" si="0"/>
        <v>19996.2</v>
      </c>
      <c r="C10" s="208">
        <v>19996.2</v>
      </c>
      <c r="D10" s="152"/>
      <c r="E10" s="152"/>
      <c r="F10" s="152"/>
      <c r="G10" s="152"/>
      <c r="H10" s="19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8579.9999999999727</v>
      </c>
      <c r="N10" s="77">
        <f t="shared" si="2"/>
        <v>3808</v>
      </c>
      <c r="O10" s="77">
        <f t="shared" si="2"/>
        <v>0</v>
      </c>
      <c r="P10" s="77">
        <f t="shared" si="2"/>
        <v>0</v>
      </c>
      <c r="Q10" s="77">
        <f>SUM(K10:P10)</f>
        <v>12387.999999999973</v>
      </c>
    </row>
    <row r="11" spans="1:18" ht="18" customHeight="1" x14ac:dyDescent="0.25">
      <c r="A11" s="176" t="s">
        <v>9</v>
      </c>
      <c r="B11" s="210">
        <f>D11+E11+F11+G11+H11+C11</f>
        <v>38322647.928000003</v>
      </c>
      <c r="C11" s="136">
        <f>C12+C13+C14+C15</f>
        <v>198855.90000000002</v>
      </c>
      <c r="D11" s="136">
        <f t="shared" ref="D11:G11" si="3">D12+D13+D14+D15</f>
        <v>636270</v>
      </c>
      <c r="E11" s="136">
        <f t="shared" si="3"/>
        <v>101303</v>
      </c>
      <c r="F11" s="136">
        <f t="shared" si="3"/>
        <v>2225024.8429999999</v>
      </c>
      <c r="G11" s="136">
        <f t="shared" si="3"/>
        <v>9360</v>
      </c>
      <c r="H11" s="172">
        <f>H12+H13+H14+H15</f>
        <v>35151834.185000002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203">
        <f>D12+E12+F12+G12+H12+C12</f>
        <v>36692262.640000001</v>
      </c>
      <c r="C12" s="152"/>
      <c r="D12" s="208">
        <v>636270</v>
      </c>
      <c r="E12" s="208">
        <v>101303</v>
      </c>
      <c r="F12" s="208">
        <v>2201150.4550000001</v>
      </c>
      <c r="G12" s="208">
        <v>9360</v>
      </c>
      <c r="H12" s="207">
        <v>33744179.185000002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8579.9999999999727</v>
      </c>
      <c r="N12" s="81">
        <f t="shared" si="4"/>
        <v>3808</v>
      </c>
      <c r="O12" s="81">
        <f t="shared" si="4"/>
        <v>0</v>
      </c>
      <c r="P12" s="81">
        <f t="shared" si="4"/>
        <v>0</v>
      </c>
      <c r="Q12" s="82">
        <f>SUM(K12:P12)</f>
        <v>12387.999999999973</v>
      </c>
    </row>
    <row r="13" spans="1:18" ht="24" customHeight="1" x14ac:dyDescent="0.2">
      <c r="A13" s="177" t="s">
        <v>47</v>
      </c>
      <c r="B13" s="203">
        <f t="shared" si="0"/>
        <v>1344906.388</v>
      </c>
      <c r="C13" s="152"/>
      <c r="D13" s="208"/>
      <c r="E13" s="208"/>
      <c r="F13" s="208">
        <v>23874.387999999999</v>
      </c>
      <c r="G13" s="152"/>
      <c r="H13" s="207">
        <v>1321032</v>
      </c>
      <c r="Q13" s="91"/>
      <c r="R13" s="105"/>
    </row>
    <row r="14" spans="1:18" ht="24" customHeight="1" x14ac:dyDescent="0.2">
      <c r="A14" s="177" t="s">
        <v>48</v>
      </c>
      <c r="B14" s="203">
        <f t="shared" si="0"/>
        <v>86623</v>
      </c>
      <c r="C14" s="152"/>
      <c r="D14" s="208"/>
      <c r="E14" s="208"/>
      <c r="F14" s="208"/>
      <c r="G14" s="152"/>
      <c r="H14" s="207">
        <v>86623</v>
      </c>
      <c r="Q14" s="32"/>
    </row>
    <row r="15" spans="1:18" ht="18" customHeight="1" x14ac:dyDescent="0.2">
      <c r="A15" s="173" t="s">
        <v>45</v>
      </c>
      <c r="B15" s="203">
        <f t="shared" si="0"/>
        <v>198855.90000000002</v>
      </c>
      <c r="C15" s="208">
        <v>198855.90000000002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75913553.292509019</v>
      </c>
      <c r="C16" s="135">
        <f t="shared" ref="C16:H16" si="5">C17+C18+C19+C20</f>
        <v>4071823.1991339992</v>
      </c>
      <c r="D16" s="135">
        <f t="shared" si="5"/>
        <v>14248483.684604999</v>
      </c>
      <c r="E16" s="135">
        <f t="shared" si="5"/>
        <v>2948849.2892149999</v>
      </c>
      <c r="F16" s="135">
        <f t="shared" si="5"/>
        <v>43747378.055412024</v>
      </c>
      <c r="G16" s="136">
        <f t="shared" si="5"/>
        <v>61876.26</v>
      </c>
      <c r="H16" s="137">
        <f t="shared" si="5"/>
        <v>10835142.804142999</v>
      </c>
    </row>
    <row r="17" spans="1:20" ht="18" customHeight="1" x14ac:dyDescent="0.2">
      <c r="A17" s="173" t="s">
        <v>46</v>
      </c>
      <c r="B17" s="166">
        <f t="shared" si="0"/>
        <v>70962874.614767015</v>
      </c>
      <c r="C17" s="152"/>
      <c r="D17" s="152">
        <v>14248483.684604999</v>
      </c>
      <c r="E17" s="152">
        <v>2937488.1124809999</v>
      </c>
      <c r="F17" s="152">
        <v>43312141.126443021</v>
      </c>
      <c r="G17" s="208">
        <v>61876.26</v>
      </c>
      <c r="H17" s="196">
        <f>10415273.431238-12388</f>
        <v>10402885.431237999</v>
      </c>
      <c r="I17" s="11"/>
    </row>
    <row r="18" spans="1:20" ht="24" customHeight="1" x14ac:dyDescent="0.2">
      <c r="A18" s="177" t="s">
        <v>47</v>
      </c>
      <c r="B18" s="166">
        <f t="shared" si="0"/>
        <v>787006.39860800002</v>
      </c>
      <c r="C18" s="152"/>
      <c r="D18" s="208"/>
      <c r="E18" s="152">
        <v>11361.176734000001</v>
      </c>
      <c r="F18" s="152">
        <v>365045.60896899999</v>
      </c>
      <c r="G18" s="208"/>
      <c r="H18" s="196">
        <v>410599.61290499999</v>
      </c>
      <c r="J18" s="212"/>
    </row>
    <row r="19" spans="1:20" ht="24" customHeight="1" x14ac:dyDescent="0.2">
      <c r="A19" s="177" t="s">
        <v>48</v>
      </c>
      <c r="B19" s="203">
        <f t="shared" si="0"/>
        <v>91849.079999999987</v>
      </c>
      <c r="C19" s="152"/>
      <c r="D19" s="208"/>
      <c r="E19" s="208"/>
      <c r="F19" s="208">
        <v>70191.319999999992</v>
      </c>
      <c r="G19" s="208"/>
      <c r="H19" s="207">
        <v>21657.760000000002</v>
      </c>
      <c r="J19" s="212"/>
    </row>
    <row r="20" spans="1:20" ht="18" customHeight="1" x14ac:dyDescent="0.2">
      <c r="A20" s="173" t="s">
        <v>45</v>
      </c>
      <c r="B20" s="166">
        <f t="shared" si="0"/>
        <v>4071823.1991339992</v>
      </c>
      <c r="C20" s="152">
        <v>4071823.1991339992</v>
      </c>
      <c r="D20" s="152"/>
      <c r="E20" s="152"/>
      <c r="F20" s="152"/>
      <c r="G20" s="152"/>
      <c r="H20" s="196"/>
      <c r="J20" s="212"/>
    </row>
    <row r="21" spans="1:20" ht="18" customHeight="1" x14ac:dyDescent="0.2">
      <c r="A21" s="176" t="s">
        <v>11</v>
      </c>
      <c r="B21" s="165">
        <f>D21+E21+F21+G21+H21+C21</f>
        <v>120848889.61250903</v>
      </c>
      <c r="C21" s="135">
        <f>C6+C11+C16</f>
        <v>4290675.2991339993</v>
      </c>
      <c r="D21" s="135">
        <f t="shared" ref="D21:H21" si="6">D6+D11+D16</f>
        <v>14956655.684604999</v>
      </c>
      <c r="E21" s="135">
        <f t="shared" si="6"/>
        <v>3546124.869215</v>
      </c>
      <c r="F21" s="135">
        <f t="shared" si="6"/>
        <v>48454724.169432029</v>
      </c>
      <c r="G21" s="136">
        <f t="shared" si="6"/>
        <v>71236.260000000009</v>
      </c>
      <c r="H21" s="137">
        <f t="shared" si="6"/>
        <v>49529473.330123</v>
      </c>
      <c r="J21" s="120">
        <v>120861277.61250901</v>
      </c>
      <c r="K21">
        <v>120865051.612509</v>
      </c>
      <c r="L21" s="206">
        <f>J21-K21</f>
        <v>-3773.9999999850988</v>
      </c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-12387.999999985099</v>
      </c>
      <c r="T22" s="32"/>
    </row>
    <row r="23" spans="1:20" ht="18" customHeight="1" thickBot="1" x14ac:dyDescent="0.25">
      <c r="A23" s="185" t="s">
        <v>14</v>
      </c>
      <c r="B23" s="186">
        <v>10368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156"/>
    </row>
    <row r="25" spans="1:20" ht="18" customHeight="1" x14ac:dyDescent="0.2">
      <c r="A25" s="124" t="s">
        <v>28</v>
      </c>
      <c r="B25" s="144">
        <f>B27+B28+B29+B26</f>
        <v>8.9433628410000008</v>
      </c>
      <c r="C25" s="144">
        <f>C26</f>
        <v>2.850547916</v>
      </c>
      <c r="D25" s="144">
        <f t="shared" ref="D25:H25" si="7">D27+D28+D29+D26</f>
        <v>0.58459380800000005</v>
      </c>
      <c r="E25" s="144">
        <f>E27+E28+E29+E26</f>
        <v>2.7875059999999999E-3</v>
      </c>
      <c r="F25" s="144">
        <f t="shared" si="7"/>
        <v>5.2710854850000004</v>
      </c>
      <c r="G25" s="144">
        <f t="shared" si="7"/>
        <v>1.2635225E-2</v>
      </c>
      <c r="H25" s="145">
        <f t="shared" si="7"/>
        <v>0.22171290100000002</v>
      </c>
    </row>
    <row r="26" spans="1:20" ht="18" customHeight="1" x14ac:dyDescent="0.2">
      <c r="A26" s="179" t="s">
        <v>45</v>
      </c>
      <c r="B26" s="168">
        <f>SUM(C26:H26)</f>
        <v>2.850547916</v>
      </c>
      <c r="C26" s="169">
        <v>2.850547916</v>
      </c>
      <c r="D26" s="169"/>
      <c r="E26" s="169"/>
      <c r="F26" s="169"/>
      <c r="G26" s="169"/>
      <c r="H26" s="180"/>
      <c r="J26" s="121">
        <v>2.850547916</v>
      </c>
      <c r="K26" s="211"/>
    </row>
    <row r="27" spans="1:20" ht="18" customHeight="1" x14ac:dyDescent="0.2">
      <c r="A27" s="173" t="s">
        <v>46</v>
      </c>
      <c r="B27" s="168">
        <f>SUM(C27:H27)</f>
        <v>6.0651069500000006</v>
      </c>
      <c r="C27" s="169"/>
      <c r="D27" s="169">
        <v>0.58459380800000005</v>
      </c>
      <c r="E27" s="169">
        <v>2.7875059999999999E-3</v>
      </c>
      <c r="F27" s="169">
        <v>5.2544977370000003</v>
      </c>
      <c r="G27" s="169">
        <v>1.2635225E-2</v>
      </c>
      <c r="H27" s="180">
        <v>0.21059267400000001</v>
      </c>
      <c r="J27" s="91">
        <v>6.0928149250000008</v>
      </c>
    </row>
    <row r="28" spans="1:20" ht="24" customHeight="1" x14ac:dyDescent="0.2">
      <c r="A28" s="177" t="s">
        <v>47</v>
      </c>
      <c r="B28" s="168">
        <f t="shared" ref="B28:B29" si="8">SUM(C28:H28)</f>
        <v>2.7707974999999999E-2</v>
      </c>
      <c r="C28" s="169"/>
      <c r="D28" s="169"/>
      <c r="E28" s="169"/>
      <c r="F28" s="169">
        <v>1.6587747999999999E-2</v>
      </c>
      <c r="G28" s="169"/>
      <c r="H28" s="180">
        <v>1.1120227E-2</v>
      </c>
      <c r="J28" s="121">
        <f>J26+J27-B25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</row>
    <row r="31" spans="1:20" ht="51.75" customHeight="1" x14ac:dyDescent="0.2">
      <c r="A31" s="124" t="s">
        <v>29</v>
      </c>
      <c r="B31" s="125">
        <f>SUM(B32:B37)</f>
        <v>30967172.965915002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28713365.699468002</v>
      </c>
      <c r="C32" s="60"/>
      <c r="D32" s="60"/>
      <c r="E32" s="60"/>
      <c r="F32" s="60"/>
      <c r="G32" s="60"/>
      <c r="H32" s="88"/>
      <c r="J32" s="91">
        <v>30967172.765914999</v>
      </c>
    </row>
    <row r="33" spans="1:10" ht="24" customHeight="1" x14ac:dyDescent="0.2">
      <c r="A33" s="148" t="s">
        <v>49</v>
      </c>
      <c r="B33" s="200">
        <v>370118.36848800001</v>
      </c>
      <c r="C33" s="61"/>
      <c r="D33" s="60"/>
      <c r="E33" s="60"/>
      <c r="F33" s="60"/>
      <c r="G33" s="60"/>
      <c r="H33" s="88"/>
      <c r="J33" s="120">
        <v>0</v>
      </c>
    </row>
    <row r="34" spans="1:10" ht="18" customHeight="1" x14ac:dyDescent="0.2">
      <c r="A34" s="149" t="s">
        <v>24</v>
      </c>
      <c r="B34" s="158">
        <v>1237339.624999</v>
      </c>
      <c r="C34" s="61"/>
      <c r="D34" s="60"/>
      <c r="E34" s="60"/>
      <c r="F34" s="60"/>
      <c r="G34" s="60"/>
      <c r="H34" s="88"/>
      <c r="J34" s="120">
        <f>J32+J33-B31</f>
        <v>-0.20000000298023224</v>
      </c>
    </row>
    <row r="35" spans="1:10" ht="18" customHeight="1" x14ac:dyDescent="0.2">
      <c r="A35" s="150" t="s">
        <v>20</v>
      </c>
      <c r="B35" s="159">
        <v>255186.8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159">
        <v>220933.114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170229.35896000001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E84E-F457-4FEB-82FC-3CD1CADC14EC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2" width="17.7109375" hidden="1" customWidth="1"/>
    <col min="13" max="16" width="9.140625" hidden="1" customWidth="1"/>
    <col min="17" max="17" width="12.7109375" hidden="1" customWidth="1"/>
    <col min="18" max="18" width="9.140625" hidden="1" customWidth="1"/>
    <col min="19" max="19" width="9.140625" customWidth="1"/>
    <col min="20" max="20" width="21.8554687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44652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5570639.8275200017</v>
      </c>
      <c r="C6" s="135">
        <f>C7+C8+C9+C10</f>
        <v>19774</v>
      </c>
      <c r="D6" s="135">
        <f t="shared" ref="D6:F6" si="1">D7+D8+D9+D10</f>
        <v>59858</v>
      </c>
      <c r="E6" s="135">
        <f t="shared" si="1"/>
        <v>412090.76</v>
      </c>
      <c r="F6" s="135">
        <f t="shared" si="1"/>
        <v>2128431.7115000002</v>
      </c>
      <c r="G6" s="135">
        <f>G7+G8+G9+G10</f>
        <v>0</v>
      </c>
      <c r="H6" s="137">
        <f>H7+H8+H9+H10</f>
        <v>2950485.3560200012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v>5461985.8275200017</v>
      </c>
      <c r="C7" s="152"/>
      <c r="D7" s="152">
        <v>59858</v>
      </c>
      <c r="E7" s="152">
        <v>412090.76</v>
      </c>
      <c r="F7" s="152">
        <v>2123084.7115000002</v>
      </c>
      <c r="G7" s="152"/>
      <c r="H7" s="196">
        <v>2866952.3560200012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66">
        <v>84339</v>
      </c>
      <c r="C8" s="152"/>
      <c r="D8" s="152"/>
      <c r="E8" s="152"/>
      <c r="F8" s="152">
        <v>5347</v>
      </c>
      <c r="G8" s="152"/>
      <c r="H8" s="196">
        <v>78992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66">
        <v>4541</v>
      </c>
      <c r="C9" s="152"/>
      <c r="D9" s="152"/>
      <c r="E9" s="152"/>
      <c r="F9" s="152"/>
      <c r="G9" s="152"/>
      <c r="H9" s="196">
        <v>4541</v>
      </c>
      <c r="J9" s="74" t="s">
        <v>41</v>
      </c>
      <c r="K9" s="75"/>
      <c r="L9" s="75">
        <v>0</v>
      </c>
      <c r="M9" s="75">
        <v>8658</v>
      </c>
      <c r="N9" s="75">
        <v>2137</v>
      </c>
      <c r="O9" s="75"/>
      <c r="P9" s="75"/>
      <c r="Q9" s="76">
        <f>SUM(K9:P9)</f>
        <v>10795</v>
      </c>
    </row>
    <row r="10" spans="1:18" ht="18" customHeight="1" x14ac:dyDescent="0.2">
      <c r="A10" s="173" t="s">
        <v>45</v>
      </c>
      <c r="B10" s="166">
        <v>19774</v>
      </c>
      <c r="C10" s="152">
        <v>19774</v>
      </c>
      <c r="D10" s="152"/>
      <c r="E10" s="152"/>
      <c r="F10" s="152"/>
      <c r="G10" s="152"/>
      <c r="H10" s="19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8658</v>
      </c>
      <c r="N10" s="77">
        <f t="shared" si="2"/>
        <v>2137</v>
      </c>
      <c r="O10" s="77">
        <f t="shared" si="2"/>
        <v>0</v>
      </c>
      <c r="P10" s="77">
        <f t="shared" si="2"/>
        <v>0</v>
      </c>
      <c r="Q10" s="77">
        <f>SUM(K10:P10)</f>
        <v>10795</v>
      </c>
    </row>
    <row r="11" spans="1:18" ht="18" customHeight="1" x14ac:dyDescent="0.25">
      <c r="A11" s="176" t="s">
        <v>9</v>
      </c>
      <c r="B11" s="165">
        <f>D11+E11+F11+G11+H11+C11</f>
        <v>38208133.257399991</v>
      </c>
      <c r="C11" s="135">
        <f>C12+C13+C14+C15</f>
        <v>175718.57</v>
      </c>
      <c r="D11" s="135">
        <f t="shared" ref="D11:G11" si="3">D12+D13+D14+D15</f>
        <v>657677</v>
      </c>
      <c r="E11" s="135">
        <f t="shared" si="3"/>
        <v>91059</v>
      </c>
      <c r="F11" s="135">
        <f t="shared" si="3"/>
        <v>2491539.9484000001</v>
      </c>
      <c r="G11" s="135">
        <f t="shared" si="3"/>
        <v>7080</v>
      </c>
      <c r="H11" s="137">
        <f>H12+H13+H14+H15</f>
        <v>34785058.738999993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66">
        <v>36494499.028999999</v>
      </c>
      <c r="C12" s="152"/>
      <c r="D12" s="152">
        <v>657677</v>
      </c>
      <c r="E12" s="152">
        <v>91059</v>
      </c>
      <c r="F12" s="152">
        <v>2460383.29</v>
      </c>
      <c r="G12" s="152">
        <v>7080</v>
      </c>
      <c r="H12" s="196">
        <v>33278299.738999996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8658</v>
      </c>
      <c r="N12" s="81">
        <f t="shared" si="4"/>
        <v>2137</v>
      </c>
      <c r="O12" s="81">
        <f t="shared" si="4"/>
        <v>0</v>
      </c>
      <c r="P12" s="81">
        <f t="shared" si="4"/>
        <v>0</v>
      </c>
      <c r="Q12" s="82">
        <f>SUM(K12:P12)</f>
        <v>10795</v>
      </c>
    </row>
    <row r="13" spans="1:18" ht="24" customHeight="1" x14ac:dyDescent="0.2">
      <c r="A13" s="177" t="s">
        <v>47</v>
      </c>
      <c r="B13" s="166">
        <v>1443910.6584000001</v>
      </c>
      <c r="C13" s="152"/>
      <c r="D13" s="152">
        <v>0</v>
      </c>
      <c r="E13" s="152"/>
      <c r="F13" s="152">
        <v>31156.6584</v>
      </c>
      <c r="G13" s="152"/>
      <c r="H13" s="196">
        <v>1412754</v>
      </c>
      <c r="Q13" s="91"/>
      <c r="R13" s="105"/>
    </row>
    <row r="14" spans="1:18" ht="24" customHeight="1" x14ac:dyDescent="0.2">
      <c r="A14" s="177" t="s">
        <v>48</v>
      </c>
      <c r="B14" s="166">
        <v>94005</v>
      </c>
      <c r="C14" s="152"/>
      <c r="D14" s="152"/>
      <c r="E14" s="152"/>
      <c r="F14" s="152"/>
      <c r="G14" s="152"/>
      <c r="H14" s="196">
        <v>94005</v>
      </c>
      <c r="Q14" s="32"/>
    </row>
    <row r="15" spans="1:18" ht="18" customHeight="1" x14ac:dyDescent="0.2">
      <c r="A15" s="173" t="s">
        <v>45</v>
      </c>
      <c r="B15" s="166">
        <v>175718.57</v>
      </c>
      <c r="C15" s="152">
        <v>175718.57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47077742.033910006</v>
      </c>
      <c r="C16" s="135">
        <f t="shared" ref="C16:H16" si="5">C17+C18+C19+C20</f>
        <v>2454404.5966949998</v>
      </c>
      <c r="D16" s="135">
        <f t="shared" si="5"/>
        <v>11036746.790226005</v>
      </c>
      <c r="E16" s="135">
        <f t="shared" si="5"/>
        <v>1721609.9164140001</v>
      </c>
      <c r="F16" s="135">
        <f t="shared" si="5"/>
        <v>22775797.078003008</v>
      </c>
      <c r="G16" s="135">
        <f t="shared" si="5"/>
        <v>70684.58</v>
      </c>
      <c r="H16" s="137">
        <f t="shared" si="5"/>
        <v>9018499.0725720003</v>
      </c>
    </row>
    <row r="17" spans="1:20" ht="18" customHeight="1" x14ac:dyDescent="0.2">
      <c r="A17" s="173" t="s">
        <v>46</v>
      </c>
      <c r="B17" s="166">
        <v>43805889.770434014</v>
      </c>
      <c r="C17" s="152"/>
      <c r="D17" s="152">
        <v>11036746.790226005</v>
      </c>
      <c r="E17" s="152">
        <v>1709970.8556600001</v>
      </c>
      <c r="F17" s="152">
        <v>22394427.811142009</v>
      </c>
      <c r="G17" s="152">
        <v>70684.58</v>
      </c>
      <c r="H17" s="196">
        <f>8594059.733406-10795</f>
        <v>8583264.7334059998</v>
      </c>
      <c r="I17" s="11"/>
    </row>
    <row r="18" spans="1:20" ht="24" customHeight="1" x14ac:dyDescent="0.2">
      <c r="A18" s="177" t="s">
        <v>47</v>
      </c>
      <c r="B18" s="166">
        <v>744697.94678100012</v>
      </c>
      <c r="C18" s="152"/>
      <c r="D18" s="152"/>
      <c r="E18" s="152">
        <v>11639.060754</v>
      </c>
      <c r="F18" s="152">
        <v>321649.46686100005</v>
      </c>
      <c r="G18" s="152"/>
      <c r="H18" s="196">
        <v>411409.41916600004</v>
      </c>
      <c r="J18" s="212"/>
    </row>
    <row r="19" spans="1:20" ht="24" customHeight="1" x14ac:dyDescent="0.2">
      <c r="A19" s="177" t="s">
        <v>48</v>
      </c>
      <c r="B19" s="166">
        <v>83544.72</v>
      </c>
      <c r="C19" s="152"/>
      <c r="D19" s="152"/>
      <c r="E19" s="152"/>
      <c r="F19" s="152">
        <v>59719.799999999996</v>
      </c>
      <c r="G19" s="152"/>
      <c r="H19" s="196">
        <v>23824.920000000002</v>
      </c>
      <c r="J19" s="212"/>
    </row>
    <row r="20" spans="1:20" ht="18" customHeight="1" x14ac:dyDescent="0.2">
      <c r="A20" s="173" t="s">
        <v>45</v>
      </c>
      <c r="B20" s="166">
        <v>2454404.5966949998</v>
      </c>
      <c r="C20" s="152">
        <v>2454404.5966949998</v>
      </c>
      <c r="D20" s="152"/>
      <c r="E20" s="152"/>
      <c r="F20" s="152"/>
      <c r="G20" s="152"/>
      <c r="H20" s="196"/>
      <c r="J20" s="212"/>
      <c r="L20" s="105"/>
    </row>
    <row r="21" spans="1:20" ht="18" customHeight="1" x14ac:dyDescent="0.2">
      <c r="A21" s="176" t="s">
        <v>11</v>
      </c>
      <c r="B21" s="165">
        <f>D21+E21+F21+G21+H21+C21</f>
        <v>90856515.118829995</v>
      </c>
      <c r="C21" s="135">
        <f>C6+C11+C16</f>
        <v>2649897.1666949997</v>
      </c>
      <c r="D21" s="135">
        <f t="shared" ref="D21:H21" si="6">D6+D11+D16</f>
        <v>11754281.790226005</v>
      </c>
      <c r="E21" s="135">
        <f t="shared" si="6"/>
        <v>2224759.6764139999</v>
      </c>
      <c r="F21" s="135">
        <f t="shared" si="6"/>
        <v>27395768.737903006</v>
      </c>
      <c r="G21" s="135">
        <f t="shared" si="6"/>
        <v>77764.58</v>
      </c>
      <c r="H21" s="137">
        <f t="shared" si="6"/>
        <v>46754043.167591996</v>
      </c>
      <c r="J21" s="120">
        <v>90867310.11883001</v>
      </c>
      <c r="L21" s="206"/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-10795.000000014901</v>
      </c>
      <c r="T22" s="32"/>
    </row>
    <row r="23" spans="1:20" ht="18" customHeight="1" thickBot="1" x14ac:dyDescent="0.25">
      <c r="A23" s="185" t="s">
        <v>14</v>
      </c>
      <c r="B23" s="214">
        <v>7283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156"/>
    </row>
    <row r="25" spans="1:20" ht="18" customHeight="1" x14ac:dyDescent="0.2">
      <c r="A25" s="124" t="s">
        <v>28</v>
      </c>
      <c r="B25" s="144">
        <f>B27+B28+B29+B26</f>
        <v>9.166090392000001</v>
      </c>
      <c r="C25" s="144">
        <f>C26</f>
        <v>3.0217494579999999</v>
      </c>
      <c r="D25" s="144">
        <f t="shared" ref="D25:H25" si="7">D27+D28+D29+D26</f>
        <v>0.428874904</v>
      </c>
      <c r="E25" s="144">
        <f>E27+E28+E29+E26</f>
        <v>2.797388E-3</v>
      </c>
      <c r="F25" s="144">
        <f t="shared" si="7"/>
        <v>5.4741694000000001</v>
      </c>
      <c r="G25" s="144">
        <f t="shared" si="7"/>
        <v>2.6917246999999998E-2</v>
      </c>
      <c r="H25" s="145">
        <f t="shared" si="7"/>
        <v>0.21158199500000002</v>
      </c>
    </row>
    <row r="26" spans="1:20" ht="18" customHeight="1" x14ac:dyDescent="0.2">
      <c r="A26" s="179" t="s">
        <v>45</v>
      </c>
      <c r="B26" s="168">
        <f>SUM(C26:H26)</f>
        <v>3.0217494579999999</v>
      </c>
      <c r="C26" s="169">
        <v>3.0217494579999999</v>
      </c>
      <c r="D26" s="169"/>
      <c r="E26" s="169"/>
      <c r="F26" s="169"/>
      <c r="G26" s="169"/>
      <c r="H26" s="180"/>
      <c r="J26" s="121">
        <v>3.0217494579999999</v>
      </c>
      <c r="K26" s="211"/>
    </row>
    <row r="27" spans="1:20" ht="18" customHeight="1" x14ac:dyDescent="0.2">
      <c r="A27" s="173" t="s">
        <v>46</v>
      </c>
      <c r="B27" s="168">
        <f>SUM(C27:H27)</f>
        <v>6.1209551270000002</v>
      </c>
      <c r="C27" s="169"/>
      <c r="D27" s="169">
        <v>0.428874904</v>
      </c>
      <c r="E27" s="169">
        <v>2.797388E-3</v>
      </c>
      <c r="F27" s="169">
        <v>5.4616651020000004</v>
      </c>
      <c r="G27" s="169">
        <v>2.6917246999999998E-2</v>
      </c>
      <c r="H27" s="180">
        <v>0.20070048600000001</v>
      </c>
      <c r="J27" s="91">
        <v>6.1617195660000004</v>
      </c>
    </row>
    <row r="28" spans="1:20" ht="24" customHeight="1" x14ac:dyDescent="0.2">
      <c r="A28" s="177" t="s">
        <v>47</v>
      </c>
      <c r="B28" s="168">
        <f t="shared" ref="B28:B29" si="8">SUM(C28:H28)</f>
        <v>2.3385807000000002E-2</v>
      </c>
      <c r="C28" s="169"/>
      <c r="D28" s="169"/>
      <c r="E28" s="169"/>
      <c r="F28" s="169">
        <v>1.2504298E-2</v>
      </c>
      <c r="G28" s="169"/>
      <c r="H28" s="180">
        <v>1.0881508999999999E-2</v>
      </c>
      <c r="J28" s="121">
        <f>J26+J27-B25</f>
        <v>1.7378631999999783E-2</v>
      </c>
      <c r="L28" s="105"/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20" ht="51.75" customHeight="1" x14ac:dyDescent="0.2">
      <c r="A31" s="124" t="s">
        <v>29</v>
      </c>
      <c r="B31" s="125">
        <f>SUM(B32:B37)</f>
        <v>19674178.55094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18023246.822101001</v>
      </c>
      <c r="C32" s="60"/>
      <c r="D32" s="60"/>
      <c r="E32" s="60"/>
      <c r="F32" s="60"/>
      <c r="G32" s="60"/>
      <c r="H32" s="88"/>
      <c r="J32" s="213">
        <v>19674178.750939999</v>
      </c>
    </row>
    <row r="33" spans="1:10" ht="24" customHeight="1" x14ac:dyDescent="0.2">
      <c r="A33" s="148" t="s">
        <v>49</v>
      </c>
      <c r="B33" s="200">
        <v>376091.80761899997</v>
      </c>
      <c r="C33" s="61"/>
      <c r="D33" s="60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1060930.7919999999</v>
      </c>
      <c r="C34" s="61"/>
      <c r="D34" s="60"/>
      <c r="E34" s="60"/>
      <c r="F34" s="60"/>
      <c r="G34" s="60"/>
      <c r="H34" s="88"/>
      <c r="J34" s="120">
        <f>J32+J33-B31</f>
        <v>0.19999999925494194</v>
      </c>
    </row>
    <row r="35" spans="1:10" ht="18" customHeight="1" x14ac:dyDescent="0.2">
      <c r="A35" s="150" t="s">
        <v>20</v>
      </c>
      <c r="B35" s="200">
        <v>20276.743999999999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123500.402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70131.983219999995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F220-B6AB-4196-9FE8-7276EA772369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6" width="9.140625" hidden="1" customWidth="1"/>
    <col min="17" max="17" width="12.7109375" hidden="1" customWidth="1"/>
    <col min="18" max="18" width="9.140625" hidden="1" customWidth="1"/>
    <col min="19" max="23" width="0" hidden="1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44682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4606869.0406799987</v>
      </c>
      <c r="C6" s="135">
        <f>C7+C8+C9+C10</f>
        <v>20856</v>
      </c>
      <c r="D6" s="135">
        <f t="shared" ref="D6:F6" si="1">D7+D8+D9+D10</f>
        <v>51554</v>
      </c>
      <c r="E6" s="135">
        <f t="shared" si="1"/>
        <v>363761.92000000004</v>
      </c>
      <c r="F6" s="135">
        <f t="shared" si="1"/>
        <v>2088681.8619799996</v>
      </c>
      <c r="G6" s="135">
        <f>G7+G8+G9+G10</f>
        <v>0</v>
      </c>
      <c r="H6" s="137">
        <f>H7+H8+H9+H10</f>
        <v>2082015.2586999997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v>4490829.0406799996</v>
      </c>
      <c r="C7" s="152">
        <v>0</v>
      </c>
      <c r="D7" s="152">
        <v>51554</v>
      </c>
      <c r="E7" s="152">
        <v>363761.92000000004</v>
      </c>
      <c r="F7" s="152">
        <v>2083223.8619799996</v>
      </c>
      <c r="G7" s="152">
        <v>0</v>
      </c>
      <c r="H7" s="196">
        <v>1992289.2586999997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66">
        <v>91651</v>
      </c>
      <c r="C8" s="152">
        <v>0</v>
      </c>
      <c r="D8" s="152">
        <v>0</v>
      </c>
      <c r="E8" s="152">
        <v>0</v>
      </c>
      <c r="F8" s="152">
        <v>5458</v>
      </c>
      <c r="G8" s="152">
        <v>0</v>
      </c>
      <c r="H8" s="196">
        <v>86193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66">
        <v>3533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3533</v>
      </c>
      <c r="J9" s="74" t="s">
        <v>41</v>
      </c>
      <c r="K9" s="75"/>
      <c r="L9" s="75">
        <v>0</v>
      </c>
      <c r="M9" s="75">
        <v>8274</v>
      </c>
      <c r="N9" s="75">
        <v>3444</v>
      </c>
      <c r="O9" s="75"/>
      <c r="P9" s="75"/>
      <c r="Q9" s="76">
        <f>SUM(K9:P9)</f>
        <v>11718</v>
      </c>
    </row>
    <row r="10" spans="1:18" ht="18" customHeight="1" x14ac:dyDescent="0.2">
      <c r="A10" s="173" t="s">
        <v>45</v>
      </c>
      <c r="B10" s="166">
        <v>20856</v>
      </c>
      <c r="C10" s="152">
        <v>20856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8274</v>
      </c>
      <c r="N10" s="77">
        <f t="shared" si="2"/>
        <v>3444</v>
      </c>
      <c r="O10" s="77">
        <f t="shared" si="2"/>
        <v>0</v>
      </c>
      <c r="P10" s="77">
        <f t="shared" si="2"/>
        <v>0</v>
      </c>
      <c r="Q10" s="77">
        <f>SUM(K10:P10)</f>
        <v>11718</v>
      </c>
    </row>
    <row r="11" spans="1:18" ht="18" customHeight="1" x14ac:dyDescent="0.25">
      <c r="A11" s="176" t="s">
        <v>9</v>
      </c>
      <c r="B11" s="165">
        <f>D11+E11+F11+G11+H11+C11</f>
        <v>38336394.362099998</v>
      </c>
      <c r="C11" s="135">
        <f t="shared" ref="C11:H11" si="3">C12+C13+C14+C15</f>
        <v>156971.84</v>
      </c>
      <c r="D11" s="135">
        <f t="shared" si="3"/>
        <v>717392.5</v>
      </c>
      <c r="E11" s="135">
        <f t="shared" si="3"/>
        <v>111674</v>
      </c>
      <c r="F11" s="135">
        <f t="shared" si="3"/>
        <v>3332407.1401</v>
      </c>
      <c r="G11" s="135">
        <f t="shared" si="3"/>
        <v>6840</v>
      </c>
      <c r="H11" s="137">
        <f t="shared" si="3"/>
        <v>34011108.881999992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66">
        <v>36613288.706899986</v>
      </c>
      <c r="C12" s="152">
        <v>0</v>
      </c>
      <c r="D12" s="152">
        <v>717392.5</v>
      </c>
      <c r="E12" s="152">
        <v>111674</v>
      </c>
      <c r="F12" s="152">
        <v>3275798.3248999999</v>
      </c>
      <c r="G12" s="152">
        <v>6840</v>
      </c>
      <c r="H12" s="196">
        <v>32501583.881999992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8274</v>
      </c>
      <c r="N12" s="81">
        <f t="shared" si="4"/>
        <v>3444</v>
      </c>
      <c r="O12" s="81">
        <f t="shared" si="4"/>
        <v>0</v>
      </c>
      <c r="P12" s="81">
        <f t="shared" si="4"/>
        <v>0</v>
      </c>
      <c r="Q12" s="82">
        <f>SUM(K12:P12)</f>
        <v>11718</v>
      </c>
    </row>
    <row r="13" spans="1:18" ht="24" customHeight="1" x14ac:dyDescent="0.2">
      <c r="A13" s="177" t="s">
        <v>47</v>
      </c>
      <c r="B13" s="166">
        <v>1476309.8152000001</v>
      </c>
      <c r="C13" s="152">
        <v>0</v>
      </c>
      <c r="D13" s="152">
        <v>0</v>
      </c>
      <c r="E13" s="152">
        <v>0</v>
      </c>
      <c r="F13" s="152">
        <v>56608.815199999997</v>
      </c>
      <c r="G13" s="152">
        <v>0</v>
      </c>
      <c r="H13" s="196">
        <v>1419701</v>
      </c>
      <c r="Q13" s="91"/>
      <c r="R13" s="105"/>
    </row>
    <row r="14" spans="1:18" ht="24" customHeight="1" x14ac:dyDescent="0.2">
      <c r="A14" s="177" t="s">
        <v>48</v>
      </c>
      <c r="B14" s="166">
        <v>89824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89824</v>
      </c>
      <c r="Q14" s="32"/>
    </row>
    <row r="15" spans="1:18" ht="18" customHeight="1" x14ac:dyDescent="0.2">
      <c r="A15" s="173" t="s">
        <v>45</v>
      </c>
      <c r="B15" s="166">
        <v>156971.84</v>
      </c>
      <c r="C15" s="152">
        <v>156971.84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44238123.668057062</v>
      </c>
      <c r="C16" s="135">
        <f t="shared" ref="C16:H16" si="5">C17+C18+C19+C20</f>
        <v>1960380.9706779995</v>
      </c>
      <c r="D16" s="135">
        <f t="shared" si="5"/>
        <v>9765417.1484240014</v>
      </c>
      <c r="E16" s="135">
        <f t="shared" si="5"/>
        <v>1829825.4720370001</v>
      </c>
      <c r="F16" s="135">
        <f t="shared" si="5"/>
        <v>22295359.168942042</v>
      </c>
      <c r="G16" s="135">
        <f t="shared" si="5"/>
        <v>62570.720000000001</v>
      </c>
      <c r="H16" s="137">
        <f t="shared" si="5"/>
        <v>8324570.1879760204</v>
      </c>
    </row>
    <row r="17" spans="1:12" ht="18" customHeight="1" x14ac:dyDescent="0.2">
      <c r="A17" s="173" t="s">
        <v>46</v>
      </c>
      <c r="B17" s="166">
        <v>41611916.118408971</v>
      </c>
      <c r="C17" s="152">
        <v>0</v>
      </c>
      <c r="D17" s="152">
        <v>9765417.1484240014</v>
      </c>
      <c r="E17" s="152">
        <v>1818285.0019830002</v>
      </c>
      <c r="F17" s="152">
        <v>21968366.535948042</v>
      </c>
      <c r="G17" s="152">
        <v>62570.720000000001</v>
      </c>
      <c r="H17" s="196">
        <f>7997276.71205402-11718</f>
        <v>7985558.7120540198</v>
      </c>
      <c r="I17" s="11"/>
    </row>
    <row r="18" spans="1:12" ht="24" customHeight="1" x14ac:dyDescent="0.2">
      <c r="A18" s="177" t="s">
        <v>47</v>
      </c>
      <c r="B18" s="166">
        <v>598300.58896999992</v>
      </c>
      <c r="C18" s="152">
        <v>0</v>
      </c>
      <c r="D18" s="152">
        <v>0</v>
      </c>
      <c r="E18" s="152">
        <v>11540.470054000001</v>
      </c>
      <c r="F18" s="152">
        <v>271079.43299400009</v>
      </c>
      <c r="G18" s="152">
        <v>0</v>
      </c>
      <c r="H18" s="196">
        <v>315680.68592200009</v>
      </c>
      <c r="J18" s="212"/>
    </row>
    <row r="19" spans="1:12" ht="24" customHeight="1" x14ac:dyDescent="0.2">
      <c r="A19" s="177" t="s">
        <v>48</v>
      </c>
      <c r="B19" s="166">
        <v>79243.99000000002</v>
      </c>
      <c r="C19" s="152">
        <v>0</v>
      </c>
      <c r="D19" s="152">
        <v>0</v>
      </c>
      <c r="E19" s="152">
        <v>0</v>
      </c>
      <c r="F19" s="152">
        <v>55913.200000000004</v>
      </c>
      <c r="G19" s="152">
        <v>0</v>
      </c>
      <c r="H19" s="196">
        <v>23330.790000000008</v>
      </c>
      <c r="J19" s="212"/>
    </row>
    <row r="20" spans="1:12" ht="18" customHeight="1" x14ac:dyDescent="0.2">
      <c r="A20" s="173" t="s">
        <v>45</v>
      </c>
      <c r="B20" s="166">
        <v>1960380.9706779995</v>
      </c>
      <c r="C20" s="152">
        <v>1960380.9706779995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87181387.070837051</v>
      </c>
      <c r="C21" s="135">
        <f>C6+C11+C16</f>
        <v>2138208.8106779996</v>
      </c>
      <c r="D21" s="135">
        <f t="shared" ref="D21:H21" si="6">D6+D11+D16</f>
        <v>10534363.648424001</v>
      </c>
      <c r="E21" s="135">
        <f t="shared" si="6"/>
        <v>2305261.392037</v>
      </c>
      <c r="F21" s="135">
        <f t="shared" si="6"/>
        <v>27716448.171022043</v>
      </c>
      <c r="G21" s="135">
        <f t="shared" si="6"/>
        <v>69410.720000000001</v>
      </c>
      <c r="H21" s="137">
        <f t="shared" si="6"/>
        <v>44417694.328676008</v>
      </c>
      <c r="J21" s="120">
        <v>87193105.070836991</v>
      </c>
      <c r="K21" s="216">
        <v>87193105.070836991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-11717.999999940395</v>
      </c>
    </row>
    <row r="23" spans="1:12" ht="18" customHeight="1" thickBot="1" x14ac:dyDescent="0.25">
      <c r="A23" s="185" t="s">
        <v>14</v>
      </c>
      <c r="B23" s="214">
        <v>7255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156"/>
    </row>
    <row r="25" spans="1:12" ht="18" customHeight="1" x14ac:dyDescent="0.2">
      <c r="A25" s="124" t="s">
        <v>28</v>
      </c>
      <c r="B25" s="144">
        <f>B27+B28+B29+B26</f>
        <v>8.5431720559999995</v>
      </c>
      <c r="C25" s="144">
        <f>C26</f>
        <v>2.3810044010000002</v>
      </c>
      <c r="D25" s="144">
        <f t="shared" ref="D25:H25" si="7">D27+D28+D29+D26</f>
        <v>0.35927069700000003</v>
      </c>
      <c r="E25" s="144">
        <f>E27+E28+E29+E26</f>
        <v>2.816982E-3</v>
      </c>
      <c r="F25" s="144">
        <f t="shared" si="7"/>
        <v>5.5505170870000002</v>
      </c>
      <c r="G25" s="144">
        <f t="shared" si="7"/>
        <v>1.9113937000000001E-2</v>
      </c>
      <c r="H25" s="145">
        <f t="shared" si="7"/>
        <v>0.23044895200000001</v>
      </c>
    </row>
    <row r="26" spans="1:12" ht="18" customHeight="1" x14ac:dyDescent="0.2">
      <c r="A26" s="179" t="s">
        <v>45</v>
      </c>
      <c r="B26" s="168">
        <f>SUM(C26:H26)</f>
        <v>2.3810044010000002</v>
      </c>
      <c r="C26" s="169">
        <v>2.3810044010000002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>
        <v>2.3810044010000002</v>
      </c>
      <c r="K26" s="211"/>
    </row>
    <row r="27" spans="1:12" ht="18" customHeight="1" x14ac:dyDescent="0.2">
      <c r="A27" s="173" t="s">
        <v>46</v>
      </c>
      <c r="B27" s="168">
        <f>SUM(C27:H27)</f>
        <v>6.1401497660000004</v>
      </c>
      <c r="C27" s="169">
        <v>0</v>
      </c>
      <c r="D27" s="169">
        <v>0.35927069700000003</v>
      </c>
      <c r="E27" s="169">
        <v>2.816982E-3</v>
      </c>
      <c r="F27" s="169">
        <v>5.539806037</v>
      </c>
      <c r="G27" s="169">
        <v>1.9113937000000001E-2</v>
      </c>
      <c r="H27" s="180">
        <v>0.219142113</v>
      </c>
      <c r="J27" s="91">
        <v>6.1621676550000002</v>
      </c>
    </row>
    <row r="28" spans="1:12" ht="24" customHeight="1" x14ac:dyDescent="0.2">
      <c r="A28" s="177" t="s">
        <v>47</v>
      </c>
      <c r="B28" s="168">
        <f t="shared" ref="B28:B29" si="8">SUM(C28:H28)</f>
        <v>2.2017888999999999E-2</v>
      </c>
      <c r="C28" s="169">
        <v>0</v>
      </c>
      <c r="D28" s="169">
        <v>0</v>
      </c>
      <c r="E28" s="169">
        <v>0</v>
      </c>
      <c r="F28" s="169">
        <v>1.071105E-2</v>
      </c>
      <c r="G28" s="169">
        <v>0</v>
      </c>
      <c r="H28" s="180">
        <v>1.1306839000000001E-2</v>
      </c>
      <c r="J28" s="121">
        <f>J26+J27-B25</f>
        <v>0</v>
      </c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21306355.205597002</v>
      </c>
      <c r="C31" s="115"/>
      <c r="D31" s="116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19568830.663668998</v>
      </c>
      <c r="C32" s="60"/>
      <c r="D32" s="60"/>
      <c r="E32" s="60"/>
      <c r="F32" s="60"/>
      <c r="G32" s="60"/>
      <c r="H32" s="88"/>
      <c r="J32" s="213">
        <v>21263381.205596998</v>
      </c>
    </row>
    <row r="33" spans="1:10" ht="24" customHeight="1" x14ac:dyDescent="0.2">
      <c r="A33" s="148" t="s">
        <v>49</v>
      </c>
      <c r="B33" s="200">
        <v>359810.11142799997</v>
      </c>
      <c r="C33" s="61"/>
      <c r="D33" s="60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1143674.409</v>
      </c>
      <c r="C34" s="61"/>
      <c r="D34" s="60"/>
      <c r="E34" s="60"/>
      <c r="F34" s="60"/>
      <c r="G34" s="60"/>
      <c r="H34" s="88"/>
      <c r="J34" s="120">
        <f>B31-J32</f>
        <v>42974.000000003725</v>
      </c>
    </row>
    <row r="35" spans="1:10" ht="18" customHeight="1" x14ac:dyDescent="0.2">
      <c r="A35" s="150" t="s">
        <v>20</v>
      </c>
      <c r="B35" s="200">
        <v>117337.2595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93974.822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22727.94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72">
        <v>43891</v>
      </c>
      <c r="B3" s="372"/>
      <c r="C3" s="372"/>
      <c r="D3" s="372"/>
      <c r="E3" s="372"/>
      <c r="F3" s="372"/>
      <c r="G3" s="372"/>
      <c r="H3" s="372"/>
    </row>
    <row r="4" spans="1:8" ht="12.75" customHeight="1" x14ac:dyDescent="0.2">
      <c r="A4" s="373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7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6176854</v>
      </c>
      <c r="C6" s="24">
        <v>14630</v>
      </c>
      <c r="D6" s="24">
        <v>75617</v>
      </c>
      <c r="E6" s="24">
        <v>425302</v>
      </c>
      <c r="F6" s="24">
        <v>2317734</v>
      </c>
      <c r="G6" s="24">
        <v>0</v>
      </c>
      <c r="H6" s="34">
        <v>3343571</v>
      </c>
    </row>
    <row r="7" spans="1:8" x14ac:dyDescent="0.2">
      <c r="A7" s="38" t="s">
        <v>17</v>
      </c>
      <c r="B7" s="42">
        <v>6055549</v>
      </c>
      <c r="C7" s="4"/>
      <c r="D7" s="4">
        <v>75617</v>
      </c>
      <c r="E7" s="4">
        <v>425302</v>
      </c>
      <c r="F7" s="4">
        <v>2312625</v>
      </c>
      <c r="G7" s="4"/>
      <c r="H7" s="8">
        <v>3242005</v>
      </c>
    </row>
    <row r="8" spans="1:8" x14ac:dyDescent="0.2">
      <c r="A8" s="38" t="s">
        <v>7</v>
      </c>
      <c r="B8" s="42">
        <v>102246</v>
      </c>
      <c r="C8" s="4"/>
      <c r="D8" s="4"/>
      <c r="E8" s="4"/>
      <c r="F8" s="4">
        <v>5109</v>
      </c>
      <c r="G8" s="4"/>
      <c r="H8" s="8">
        <v>97137</v>
      </c>
    </row>
    <row r="9" spans="1:8" x14ac:dyDescent="0.2">
      <c r="A9" s="38" t="s">
        <v>8</v>
      </c>
      <c r="B9" s="42">
        <v>4429</v>
      </c>
      <c r="C9" s="4"/>
      <c r="D9" s="4"/>
      <c r="E9" s="4"/>
      <c r="F9" s="4"/>
      <c r="G9" s="4"/>
      <c r="H9" s="8">
        <v>4429</v>
      </c>
    </row>
    <row r="10" spans="1:8" x14ac:dyDescent="0.2">
      <c r="A10" s="38" t="s">
        <v>18</v>
      </c>
      <c r="B10" s="42">
        <v>14630</v>
      </c>
      <c r="C10" s="4">
        <v>14630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35237696</v>
      </c>
      <c r="C11" s="5">
        <v>107016</v>
      </c>
      <c r="D11" s="5">
        <v>528631</v>
      </c>
      <c r="E11" s="5">
        <v>108763</v>
      </c>
      <c r="F11" s="5">
        <v>1970955</v>
      </c>
      <c r="G11" s="5">
        <v>13640</v>
      </c>
      <c r="H11" s="35">
        <v>32508691</v>
      </c>
    </row>
    <row r="12" spans="1:8" x14ac:dyDescent="0.2">
      <c r="A12" s="38" t="s">
        <v>17</v>
      </c>
      <c r="B12" s="42">
        <v>33680930</v>
      </c>
      <c r="C12" s="4"/>
      <c r="D12" s="4">
        <v>524201</v>
      </c>
      <c r="E12" s="4">
        <v>108763</v>
      </c>
      <c r="F12" s="4">
        <v>1951663</v>
      </c>
      <c r="G12" s="4">
        <v>13640</v>
      </c>
      <c r="H12" s="6">
        <v>31082663</v>
      </c>
    </row>
    <row r="13" spans="1:8" x14ac:dyDescent="0.2">
      <c r="A13" s="38" t="s">
        <v>7</v>
      </c>
      <c r="B13" s="42">
        <v>1351799</v>
      </c>
      <c r="C13" s="7"/>
      <c r="D13" s="7"/>
      <c r="E13" s="7"/>
      <c r="F13" s="7">
        <v>19292</v>
      </c>
      <c r="G13" s="7"/>
      <c r="H13" s="6">
        <v>1332507</v>
      </c>
    </row>
    <row r="14" spans="1:8" x14ac:dyDescent="0.2">
      <c r="A14" s="38" t="s">
        <v>8</v>
      </c>
      <c r="B14" s="42">
        <v>97951</v>
      </c>
      <c r="C14" s="4"/>
      <c r="D14" s="4">
        <v>4430</v>
      </c>
      <c r="E14" s="4"/>
      <c r="F14" s="4"/>
      <c r="G14" s="4"/>
      <c r="H14" s="6">
        <v>93521</v>
      </c>
    </row>
    <row r="15" spans="1:8" x14ac:dyDescent="0.2">
      <c r="A15" s="38" t="s">
        <v>18</v>
      </c>
      <c r="B15" s="42">
        <v>107016</v>
      </c>
      <c r="C15" s="4">
        <v>107016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71039916</v>
      </c>
      <c r="C16" s="5">
        <v>3565156</v>
      </c>
      <c r="D16" s="5">
        <v>12697293</v>
      </c>
      <c r="E16" s="5">
        <v>5242708</v>
      </c>
      <c r="F16" s="5">
        <v>40375242</v>
      </c>
      <c r="G16" s="5">
        <v>57049</v>
      </c>
      <c r="H16" s="35">
        <v>9102468</v>
      </c>
    </row>
    <row r="17" spans="1:8" x14ac:dyDescent="0.2">
      <c r="A17" s="38" t="s">
        <v>17</v>
      </c>
      <c r="B17" s="2">
        <v>66784176</v>
      </c>
      <c r="C17" s="4"/>
      <c r="D17" s="4">
        <v>12694749</v>
      </c>
      <c r="E17" s="4">
        <v>5234958</v>
      </c>
      <c r="F17" s="4">
        <v>40106035</v>
      </c>
      <c r="G17" s="4">
        <v>57049</v>
      </c>
      <c r="H17" s="6">
        <v>8691385</v>
      </c>
    </row>
    <row r="18" spans="1:8" x14ac:dyDescent="0.2">
      <c r="A18" s="38" t="s">
        <v>7</v>
      </c>
      <c r="B18" s="25">
        <v>617360</v>
      </c>
      <c r="C18" s="7"/>
      <c r="D18" s="7"/>
      <c r="E18" s="7">
        <v>7750</v>
      </c>
      <c r="F18" s="7">
        <v>223505</v>
      </c>
      <c r="G18" s="7"/>
      <c r="H18" s="6">
        <v>386105</v>
      </c>
    </row>
    <row r="19" spans="1:8" x14ac:dyDescent="0.2">
      <c r="A19" s="38" t="s">
        <v>8</v>
      </c>
      <c r="B19" s="2">
        <v>73224</v>
      </c>
      <c r="C19" s="4"/>
      <c r="D19" s="4">
        <v>2544</v>
      </c>
      <c r="E19" s="4"/>
      <c r="F19" s="4">
        <v>45702</v>
      </c>
      <c r="G19" s="4"/>
      <c r="H19" s="8">
        <v>24978</v>
      </c>
    </row>
    <row r="20" spans="1:8" ht="19.5" customHeight="1" x14ac:dyDescent="0.2">
      <c r="A20" s="38" t="s">
        <v>18</v>
      </c>
      <c r="B20" s="2">
        <v>3565156</v>
      </c>
      <c r="C20" s="4">
        <v>3565156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112454466</v>
      </c>
      <c r="C21" s="9">
        <v>3686802</v>
      </c>
      <c r="D21" s="9">
        <v>13301541</v>
      </c>
      <c r="E21" s="9">
        <v>5776773</v>
      </c>
      <c r="F21" s="9">
        <v>44663931</v>
      </c>
      <c r="G21" s="9">
        <v>70689</v>
      </c>
      <c r="H21" s="36">
        <v>44954730</v>
      </c>
    </row>
    <row r="22" spans="1:8" ht="15.75" customHeight="1" x14ac:dyDescent="0.2">
      <c r="A22" s="39" t="s">
        <v>21</v>
      </c>
      <c r="B22" s="43">
        <v>59827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10617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67" t="s">
        <v>13</v>
      </c>
      <c r="C24" s="368"/>
      <c r="D24" s="368"/>
      <c r="E24" s="368"/>
      <c r="F24" s="368"/>
      <c r="G24" s="368"/>
      <c r="H24" s="369"/>
    </row>
    <row r="25" spans="1:8" ht="24.75" customHeight="1" x14ac:dyDescent="0.2">
      <c r="A25" s="47" t="s">
        <v>28</v>
      </c>
      <c r="B25" s="50">
        <v>11.343</v>
      </c>
      <c r="C25" s="26">
        <v>3.746</v>
      </c>
      <c r="D25" s="26">
        <v>0.22500000000000001</v>
      </c>
      <c r="E25" s="26">
        <v>6.0000000000000001E-3</v>
      </c>
      <c r="F25" s="26">
        <v>6.3370000000000006</v>
      </c>
      <c r="G25" s="26">
        <v>8.9999999999999993E-3</v>
      </c>
      <c r="H25" s="27">
        <v>1.0199999999999998</v>
      </c>
    </row>
    <row r="26" spans="1:8" x14ac:dyDescent="0.2">
      <c r="A26" s="48" t="s">
        <v>18</v>
      </c>
      <c r="B26" s="51">
        <v>3.746</v>
      </c>
      <c r="C26" s="28">
        <v>3.746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7.5740000000000007</v>
      </c>
      <c r="C27" s="28"/>
      <c r="D27" s="28">
        <v>0.22500000000000001</v>
      </c>
      <c r="E27" s="28">
        <v>6.0000000000000001E-3</v>
      </c>
      <c r="F27" s="28">
        <v>6.3310000000000004</v>
      </c>
      <c r="G27" s="28">
        <v>8.9999999999999993E-3</v>
      </c>
      <c r="H27" s="29">
        <v>1.0029999999999999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6.0000000000000001E-3</v>
      </c>
      <c r="G28" s="30"/>
      <c r="H28" s="31">
        <v>1.7000000000000001E-2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24056907.039999999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22127466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349217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1322387.0400000007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180583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77254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D2B0-7209-4D19-8AFF-C516A358E4B2}">
  <sheetPr>
    <tabColor rgb="FFCCFFCC"/>
    <pageSetUpPr fitToPage="1"/>
  </sheetPr>
  <dimension ref="A1:R40"/>
  <sheetViews>
    <sheetView zoomScale="87" zoomScaleNormal="87" workbookViewId="0">
      <selection activeCell="K29" sqref="K2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1" width="19" customWidth="1"/>
    <col min="12" max="12" width="17.7109375" customWidth="1"/>
    <col min="13" max="16" width="9.140625" customWidth="1"/>
    <col min="17" max="17" width="12.7109375" customWidth="1"/>
    <col min="18" max="18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44713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3954208.4327979991</v>
      </c>
      <c r="C6" s="135">
        <f>C7+C8+C9+C10</f>
        <v>16499.900000000001</v>
      </c>
      <c r="D6" s="135">
        <f t="shared" ref="D6:F6" si="1">D7+D8+D9+D10</f>
        <v>51135.999998000007</v>
      </c>
      <c r="E6" s="135">
        <f t="shared" si="1"/>
        <v>287823.40000000002</v>
      </c>
      <c r="F6" s="135">
        <f t="shared" si="1"/>
        <v>1756128.5035000001</v>
      </c>
      <c r="G6" s="135">
        <f>G7+G8+G9+G10</f>
        <v>0</v>
      </c>
      <c r="H6" s="137">
        <f>H7+H8+H9+H10</f>
        <v>1842620.6292999992</v>
      </c>
      <c r="J6" s="218" t="s">
        <v>56</v>
      </c>
      <c r="K6" s="219"/>
      <c r="L6" s="219"/>
      <c r="M6" s="219"/>
      <c r="N6" s="219"/>
      <c r="O6" s="219"/>
      <c r="P6" s="219"/>
      <c r="Q6" s="219"/>
    </row>
    <row r="7" spans="1:18" ht="18" customHeight="1" x14ac:dyDescent="0.2">
      <c r="A7" s="173" t="s">
        <v>46</v>
      </c>
      <c r="B7" s="166">
        <v>3841103.5327979983</v>
      </c>
      <c r="C7" s="152">
        <v>0</v>
      </c>
      <c r="D7" s="152">
        <v>51135.999998000007</v>
      </c>
      <c r="E7" s="152">
        <v>287823.40000000002</v>
      </c>
      <c r="F7" s="152">
        <v>1752164.5035000001</v>
      </c>
      <c r="G7" s="152">
        <v>0</v>
      </c>
      <c r="H7" s="196">
        <v>1749979.6292999992</v>
      </c>
      <c r="J7" s="220" t="s">
        <v>31</v>
      </c>
      <c r="K7" s="221"/>
      <c r="L7" s="221"/>
      <c r="M7" s="221"/>
      <c r="N7" s="221"/>
      <c r="O7" s="221"/>
      <c r="P7" s="221"/>
      <c r="Q7" s="222" t="s">
        <v>32</v>
      </c>
    </row>
    <row r="8" spans="1:18" ht="24" customHeight="1" x14ac:dyDescent="0.2">
      <c r="A8" s="174" t="s">
        <v>47</v>
      </c>
      <c r="B8" s="166">
        <v>93310</v>
      </c>
      <c r="C8" s="152">
        <v>0</v>
      </c>
      <c r="D8" s="152">
        <v>0</v>
      </c>
      <c r="E8" s="152">
        <v>0</v>
      </c>
      <c r="F8" s="152">
        <v>3964</v>
      </c>
      <c r="G8" s="152">
        <v>0</v>
      </c>
      <c r="H8" s="196">
        <v>89346</v>
      </c>
      <c r="J8" s="223"/>
      <c r="K8" s="224" t="s">
        <v>33</v>
      </c>
      <c r="L8" s="224" t="s">
        <v>34</v>
      </c>
      <c r="M8" s="224" t="s">
        <v>35</v>
      </c>
      <c r="N8" s="224" t="s">
        <v>36</v>
      </c>
      <c r="O8" s="224" t="s">
        <v>37</v>
      </c>
      <c r="P8" s="224" t="s">
        <v>38</v>
      </c>
      <c r="Q8" s="224" t="s">
        <v>39</v>
      </c>
    </row>
    <row r="9" spans="1:18" ht="24" customHeight="1" x14ac:dyDescent="0.25">
      <c r="A9" s="174" t="s">
        <v>48</v>
      </c>
      <c r="B9" s="166">
        <v>3295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3295</v>
      </c>
      <c r="J9" s="225" t="s">
        <v>40</v>
      </c>
      <c r="K9" s="217"/>
      <c r="L9" s="217">
        <v>0</v>
      </c>
      <c r="M9" s="217"/>
      <c r="N9" s="217"/>
      <c r="O9" s="217"/>
      <c r="P9" s="217"/>
      <c r="Q9" s="226">
        <f>SUM(K9:P9)</f>
        <v>0</v>
      </c>
    </row>
    <row r="10" spans="1:18" ht="18" customHeight="1" x14ac:dyDescent="0.25">
      <c r="A10" s="173" t="s">
        <v>45</v>
      </c>
      <c r="B10" s="166">
        <v>16499.900000000001</v>
      </c>
      <c r="C10" s="152">
        <v>16499.900000000001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25" t="s">
        <v>41</v>
      </c>
      <c r="K10" s="217"/>
      <c r="L10" s="217">
        <v>0</v>
      </c>
      <c r="M10" s="217">
        <v>7800</v>
      </c>
      <c r="N10" s="217">
        <v>2572</v>
      </c>
      <c r="O10" s="217"/>
      <c r="P10" s="217"/>
      <c r="Q10" s="226">
        <f>SUM(K10:P10)</f>
        <v>10372</v>
      </c>
    </row>
    <row r="11" spans="1:18" ht="18" customHeight="1" x14ac:dyDescent="0.2">
      <c r="A11" s="176" t="s">
        <v>9</v>
      </c>
      <c r="B11" s="165">
        <f>D11+E11+F11+G11+H11+C11</f>
        <v>37502486.410300009</v>
      </c>
      <c r="C11" s="135">
        <f>C12+C13+C14+C15</f>
        <v>137874.02000000002</v>
      </c>
      <c r="D11" s="135">
        <f t="shared" ref="D11:G11" si="2">D12+D13+D14+D15</f>
        <v>597290.99999999988</v>
      </c>
      <c r="E11" s="135">
        <f t="shared" si="2"/>
        <v>99581</v>
      </c>
      <c r="F11" s="135">
        <f t="shared" si="2"/>
        <v>2613678.3392000012</v>
      </c>
      <c r="G11" s="135">
        <f t="shared" si="2"/>
        <v>5880</v>
      </c>
      <c r="H11" s="137">
        <f>H12+H13+H14+H15</f>
        <v>34048182.051100001</v>
      </c>
      <c r="J11" s="225" t="s">
        <v>1</v>
      </c>
      <c r="K11" s="227">
        <f t="shared" ref="K11:P11" si="3">K9+K10</f>
        <v>0</v>
      </c>
      <c r="L11" s="227">
        <f t="shared" si="3"/>
        <v>0</v>
      </c>
      <c r="M11" s="227">
        <f t="shared" si="3"/>
        <v>7800</v>
      </c>
      <c r="N11" s="227">
        <f t="shared" si="3"/>
        <v>2572</v>
      </c>
      <c r="O11" s="227">
        <f t="shared" si="3"/>
        <v>0</v>
      </c>
      <c r="P11" s="227">
        <f t="shared" si="3"/>
        <v>0</v>
      </c>
      <c r="Q11" s="227">
        <f>SUM(K11:P11)</f>
        <v>10372</v>
      </c>
    </row>
    <row r="12" spans="1:18" ht="18" customHeight="1" x14ac:dyDescent="0.25">
      <c r="A12" s="173" t="s">
        <v>46</v>
      </c>
      <c r="B12" s="166">
        <v>35895074.151099995</v>
      </c>
      <c r="C12" s="152">
        <v>0</v>
      </c>
      <c r="D12" s="152">
        <v>597290.99999999988</v>
      </c>
      <c r="E12" s="152">
        <v>99581</v>
      </c>
      <c r="F12" s="152">
        <v>2542267.100000001</v>
      </c>
      <c r="G12" s="152">
        <v>5880</v>
      </c>
      <c r="H12" s="196">
        <v>32650055.051100001</v>
      </c>
      <c r="J12" s="225"/>
      <c r="K12" s="228"/>
      <c r="L12" s="228"/>
      <c r="M12" s="228"/>
      <c r="N12" s="228"/>
      <c r="O12" s="228"/>
      <c r="P12" s="228"/>
      <c r="Q12" s="229">
        <f>SUM(L12:P12)</f>
        <v>0</v>
      </c>
    </row>
    <row r="13" spans="1:18" ht="24" customHeight="1" x14ac:dyDescent="0.25">
      <c r="A13" s="177" t="s">
        <v>47</v>
      </c>
      <c r="B13" s="166">
        <v>1372357.2392</v>
      </c>
      <c r="C13" s="152">
        <v>0</v>
      </c>
      <c r="D13" s="152">
        <v>0</v>
      </c>
      <c r="E13" s="152">
        <v>0</v>
      </c>
      <c r="F13" s="152">
        <v>71411.239199999996</v>
      </c>
      <c r="G13" s="152">
        <v>0</v>
      </c>
      <c r="H13" s="196">
        <v>1300946</v>
      </c>
      <c r="J13" s="230" t="s">
        <v>39</v>
      </c>
      <c r="K13" s="231">
        <f t="shared" ref="K13:P13" si="4">K11+K12</f>
        <v>0</v>
      </c>
      <c r="L13" s="231">
        <f t="shared" si="4"/>
        <v>0</v>
      </c>
      <c r="M13" s="231">
        <f t="shared" si="4"/>
        <v>7800</v>
      </c>
      <c r="N13" s="231">
        <f t="shared" si="4"/>
        <v>2572</v>
      </c>
      <c r="O13" s="231">
        <f t="shared" si="4"/>
        <v>0</v>
      </c>
      <c r="P13" s="231">
        <f t="shared" si="4"/>
        <v>0</v>
      </c>
      <c r="Q13" s="232">
        <f>SUM(K13:P13)</f>
        <v>10372</v>
      </c>
      <c r="R13" s="105"/>
    </row>
    <row r="14" spans="1:18" ht="24" customHeight="1" x14ac:dyDescent="0.2">
      <c r="A14" s="177" t="s">
        <v>48</v>
      </c>
      <c r="B14" s="166">
        <v>97181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97181</v>
      </c>
      <c r="Q14" s="32"/>
    </row>
    <row r="15" spans="1:18" ht="18" customHeight="1" x14ac:dyDescent="0.2">
      <c r="A15" s="173" t="s">
        <v>45</v>
      </c>
      <c r="B15" s="166">
        <v>137874.02000000002</v>
      </c>
      <c r="C15" s="152">
        <v>137874.02000000002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40528749.586081974</v>
      </c>
      <c r="C16" s="135">
        <f>C17+C18+C19+C20</f>
        <v>1595655.2960679999</v>
      </c>
      <c r="D16" s="135">
        <f>D17+D18+D19+D20</f>
        <v>8602431.3859540094</v>
      </c>
      <c r="E16" s="135">
        <f t="shared" ref="E16:G16" si="5">E17+E18+E19+E20</f>
        <v>2016377.566267</v>
      </c>
      <c r="F16" s="135">
        <f t="shared" si="5"/>
        <v>20249161.92997897</v>
      </c>
      <c r="G16" s="135">
        <f t="shared" si="5"/>
        <v>69974.719990999991</v>
      </c>
      <c r="H16" s="137">
        <f>H17+H18+H19+H20</f>
        <v>7995148.6878229994</v>
      </c>
    </row>
    <row r="17" spans="1:12" ht="18" customHeight="1" x14ac:dyDescent="0.2">
      <c r="A17" s="173" t="s">
        <v>46</v>
      </c>
      <c r="B17" s="166">
        <v>38259194.100261986</v>
      </c>
      <c r="C17" s="152">
        <v>0</v>
      </c>
      <c r="D17" s="152">
        <v>8602431.3859540094</v>
      </c>
      <c r="E17" s="152">
        <v>2006363.923769</v>
      </c>
      <c r="F17" s="152">
        <v>19945535.745045967</v>
      </c>
      <c r="G17" s="152">
        <v>69974.719990999991</v>
      </c>
      <c r="H17" s="196">
        <f>7634888.325502-Q13</f>
        <v>7624516.3255019998</v>
      </c>
      <c r="I17" s="11"/>
    </row>
    <row r="18" spans="1:12" ht="24" customHeight="1" x14ac:dyDescent="0.2">
      <c r="A18" s="177" t="s">
        <v>47</v>
      </c>
      <c r="B18" s="166">
        <v>611565.49975199997</v>
      </c>
      <c r="C18" s="152">
        <v>0</v>
      </c>
      <c r="D18" s="152">
        <v>0</v>
      </c>
      <c r="E18" s="152">
        <v>10013.642497999999</v>
      </c>
      <c r="F18" s="152">
        <v>257083.58493299998</v>
      </c>
      <c r="G18" s="152">
        <v>0</v>
      </c>
      <c r="H18" s="196">
        <v>344468.272321</v>
      </c>
      <c r="J18" s="212"/>
    </row>
    <row r="19" spans="1:12" ht="24" customHeight="1" x14ac:dyDescent="0.2">
      <c r="A19" s="177" t="s">
        <v>48</v>
      </c>
      <c r="B19" s="166">
        <v>72706.69</v>
      </c>
      <c r="C19" s="152">
        <v>0</v>
      </c>
      <c r="D19" s="152">
        <v>0</v>
      </c>
      <c r="E19" s="152">
        <v>0</v>
      </c>
      <c r="F19" s="152">
        <v>46542.6</v>
      </c>
      <c r="G19" s="152">
        <v>0</v>
      </c>
      <c r="H19" s="196">
        <v>26164.089999999997</v>
      </c>
      <c r="J19" s="212"/>
    </row>
    <row r="20" spans="1:12" ht="18" customHeight="1" x14ac:dyDescent="0.2">
      <c r="A20" s="173" t="s">
        <v>45</v>
      </c>
      <c r="B20" s="166">
        <v>1595655.2960679999</v>
      </c>
      <c r="C20" s="152">
        <v>1595655.2960679999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81985444.429179966</v>
      </c>
      <c r="C21" s="135">
        <f>C6+C11+C16</f>
        <v>1750029.2160679998</v>
      </c>
      <c r="D21" s="135">
        <f t="shared" ref="D21:H21" si="6">D6+D11+D16</f>
        <v>9250858.3859520089</v>
      </c>
      <c r="E21" s="135">
        <f t="shared" si="6"/>
        <v>2403781.966267</v>
      </c>
      <c r="F21" s="135">
        <f t="shared" si="6"/>
        <v>24618968.772678971</v>
      </c>
      <c r="G21" s="135">
        <f t="shared" si="6"/>
        <v>75854.719990999991</v>
      </c>
      <c r="H21" s="137">
        <f t="shared" si="6"/>
        <v>43885951.368222997</v>
      </c>
      <c r="J21" s="120">
        <v>81995816.429179996</v>
      </c>
      <c r="K21" s="216">
        <v>87193105.070836991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-10372.000000029802</v>
      </c>
    </row>
    <row r="23" spans="1:12" ht="18" customHeight="1" thickBot="1" x14ac:dyDescent="0.25">
      <c r="A23" s="185" t="s">
        <v>14</v>
      </c>
      <c r="B23" s="214">
        <v>6432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>
        <v>37502486.410300002</v>
      </c>
    </row>
    <row r="25" spans="1:12" ht="18" customHeight="1" x14ac:dyDescent="0.2">
      <c r="A25" s="124" t="s">
        <v>28</v>
      </c>
      <c r="B25" s="144">
        <f>B27+B28+B29+B26</f>
        <v>8.803070760999999</v>
      </c>
      <c r="C25" s="144">
        <f>C26</f>
        <v>2.3630890560000002</v>
      </c>
      <c r="D25" s="144">
        <f t="shared" ref="D25:H25" si="7">D27+D28+D29+D26</f>
        <v>0.36020486000000002</v>
      </c>
      <c r="E25" s="144">
        <f>E27+E28+E29+E26</f>
        <v>2.7843870000000001E-3</v>
      </c>
      <c r="F25" s="144">
        <f t="shared" si="7"/>
        <v>5.8134223440000001</v>
      </c>
      <c r="G25" s="144">
        <f t="shared" si="7"/>
        <v>1.4039167999999999E-2</v>
      </c>
      <c r="H25" s="145">
        <f t="shared" si="7"/>
        <v>0.24953094599999998</v>
      </c>
      <c r="J25" s="238">
        <v>44493330.018880002</v>
      </c>
    </row>
    <row r="26" spans="1:12" ht="18" customHeight="1" x14ac:dyDescent="0.2">
      <c r="A26" s="179" t="s">
        <v>45</v>
      </c>
      <c r="B26" s="168">
        <f>SUM(C26:H26)</f>
        <v>2.3630890560000002</v>
      </c>
      <c r="C26" s="169">
        <v>2.3630890560000002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/>
      <c r="K26" s="211"/>
    </row>
    <row r="27" spans="1:12" ht="18" customHeight="1" x14ac:dyDescent="0.2">
      <c r="A27" s="173" t="s">
        <v>46</v>
      </c>
      <c r="B27" s="168">
        <f>SUM(C27:H27)</f>
        <v>6.4195102969999995</v>
      </c>
      <c r="C27" s="169">
        <v>0</v>
      </c>
      <c r="D27" s="169">
        <v>0.36020486000000002</v>
      </c>
      <c r="E27" s="169">
        <v>2.7843870000000001E-3</v>
      </c>
      <c r="F27" s="169">
        <v>5.8051832069999998</v>
      </c>
      <c r="G27" s="169">
        <v>1.4039167999999999E-2</v>
      </c>
      <c r="H27" s="180">
        <v>0.23729867499999999</v>
      </c>
    </row>
    <row r="28" spans="1:12" ht="24" customHeight="1" x14ac:dyDescent="0.2">
      <c r="A28" s="177" t="s">
        <v>47</v>
      </c>
      <c r="B28" s="168">
        <f t="shared" ref="B28:B29" si="8">SUM(C28:H28)</f>
        <v>2.0471408E-2</v>
      </c>
      <c r="C28" s="169">
        <v>0</v>
      </c>
      <c r="D28" s="169">
        <v>0</v>
      </c>
      <c r="E28" s="169">
        <v>0</v>
      </c>
      <c r="F28" s="169">
        <v>8.2391370000000005E-3</v>
      </c>
      <c r="G28" s="169">
        <v>0</v>
      </c>
      <c r="H28" s="180">
        <v>1.2232270999999999E-2</v>
      </c>
      <c r="J28" s="121"/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14420511.001552001</v>
      </c>
      <c r="C31" s="234"/>
      <c r="D31" s="235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12995744.090549</v>
      </c>
      <c r="C32" s="60"/>
      <c r="D32" s="236"/>
      <c r="E32" s="60"/>
      <c r="F32" s="60"/>
      <c r="G32" s="60"/>
      <c r="H32" s="88"/>
      <c r="J32" s="213"/>
    </row>
    <row r="33" spans="1:10" ht="24" customHeight="1" x14ac:dyDescent="0.2">
      <c r="A33" s="148" t="s">
        <v>49</v>
      </c>
      <c r="B33" s="200">
        <v>343421.39670300001</v>
      </c>
      <c r="C33" s="61"/>
      <c r="D33" s="236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947885.26379999996</v>
      </c>
      <c r="C34" s="61"/>
      <c r="D34" s="236"/>
      <c r="E34" s="60"/>
      <c r="F34" s="60"/>
      <c r="G34" s="60"/>
      <c r="H34" s="88"/>
      <c r="J34" s="120"/>
    </row>
    <row r="35" spans="1:10" ht="18" customHeight="1" x14ac:dyDescent="0.2">
      <c r="A35" s="150" t="s">
        <v>20</v>
      </c>
      <c r="B35" s="200">
        <v>69051.3125</v>
      </c>
      <c r="C35" s="61"/>
      <c r="D35" s="236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50478.197999999997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13930.74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1C45-FDAF-4093-B364-3E00CE9C4888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1" width="19" customWidth="1"/>
    <col min="12" max="12" width="17.7109375" customWidth="1"/>
    <col min="13" max="16" width="9.140625" customWidth="1"/>
    <col min="17" max="17" width="12.7109375" customWidth="1"/>
    <col min="18" max="18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44743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3447435.0510000004</v>
      </c>
      <c r="C6" s="135">
        <f>C7+C8+C9+C10</f>
        <v>22054.1</v>
      </c>
      <c r="D6" s="135">
        <f t="shared" ref="D6:F6" si="1">D7+D8+D9+D10</f>
        <v>56402.000000000007</v>
      </c>
      <c r="E6" s="135">
        <f t="shared" si="1"/>
        <v>288464.8</v>
      </c>
      <c r="F6" s="135">
        <f t="shared" si="1"/>
        <v>1688725.2070000002</v>
      </c>
      <c r="G6" s="135">
        <f>G7+G8+G9+G10</f>
        <v>0</v>
      </c>
      <c r="H6" s="137">
        <f>H7+H8+H9+H10</f>
        <v>1391788.9440000001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v>3347212.9509999971</v>
      </c>
      <c r="C7" s="152">
        <v>0</v>
      </c>
      <c r="D7" s="152">
        <v>56402.000000000007</v>
      </c>
      <c r="E7" s="152">
        <v>288464.8</v>
      </c>
      <c r="F7" s="152">
        <v>1684706.2070000002</v>
      </c>
      <c r="G7" s="152">
        <v>0</v>
      </c>
      <c r="H7" s="196">
        <v>1317639.9440000001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v>75856</v>
      </c>
      <c r="C8" s="152">
        <v>0</v>
      </c>
      <c r="D8" s="152">
        <v>0</v>
      </c>
      <c r="E8" s="152">
        <v>0</v>
      </c>
      <c r="F8" s="152">
        <v>4019</v>
      </c>
      <c r="G8" s="152">
        <v>0</v>
      </c>
      <c r="H8" s="196">
        <v>71837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v>2312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2312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v>22054.1</v>
      </c>
      <c r="C10" s="152">
        <v>22054.1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9600</v>
      </c>
      <c r="N10" s="75">
        <v>3740</v>
      </c>
      <c r="O10" s="75"/>
      <c r="P10" s="75"/>
      <c r="Q10" s="76">
        <f>SUM(K10:P10)</f>
        <v>13340</v>
      </c>
    </row>
    <row r="11" spans="1:18" ht="18" customHeight="1" x14ac:dyDescent="0.2">
      <c r="A11" s="176" t="s">
        <v>9</v>
      </c>
      <c r="B11" s="165">
        <f>D11+E11+F11+G11+H11+C11</f>
        <v>34852486.581299998</v>
      </c>
      <c r="C11" s="135">
        <f>C12+C13+C14+C15</f>
        <v>141334.40999999997</v>
      </c>
      <c r="D11" s="135">
        <f t="shared" ref="D11:G11" si="2">D12+D13+D14+D15</f>
        <v>595000.00000000023</v>
      </c>
      <c r="E11" s="135">
        <f t="shared" si="2"/>
        <v>103149</v>
      </c>
      <c r="F11" s="135">
        <f t="shared" si="2"/>
        <v>2797904.5274</v>
      </c>
      <c r="G11" s="135">
        <f t="shared" si="2"/>
        <v>6040</v>
      </c>
      <c r="H11" s="137">
        <f>H12+H13+H14+H15</f>
        <v>31209058.643900003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9600</v>
      </c>
      <c r="N11" s="77">
        <f t="shared" si="3"/>
        <v>3740</v>
      </c>
      <c r="O11" s="77">
        <f t="shared" si="3"/>
        <v>0</v>
      </c>
      <c r="P11" s="77">
        <f t="shared" si="3"/>
        <v>0</v>
      </c>
      <c r="Q11" s="77">
        <f>SUM(K11:P11)</f>
        <v>13340</v>
      </c>
    </row>
    <row r="12" spans="1:18" ht="18" customHeight="1" x14ac:dyDescent="0.25">
      <c r="A12" s="173" t="s">
        <v>46</v>
      </c>
      <c r="B12" s="166">
        <v>33370185.188900005</v>
      </c>
      <c r="C12" s="152">
        <v>0</v>
      </c>
      <c r="D12" s="152">
        <v>595000.00000000023</v>
      </c>
      <c r="E12" s="152">
        <v>103149</v>
      </c>
      <c r="F12" s="152">
        <v>2731358.5449999999</v>
      </c>
      <c r="G12" s="152">
        <v>6040</v>
      </c>
      <c r="H12" s="196">
        <v>29934637.643900003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v>1262765.9824000001</v>
      </c>
      <c r="C13" s="152">
        <v>0</v>
      </c>
      <c r="D13" s="152">
        <v>0</v>
      </c>
      <c r="E13" s="152">
        <v>0</v>
      </c>
      <c r="F13" s="152">
        <v>66545.982400000008</v>
      </c>
      <c r="G13" s="152">
        <v>0</v>
      </c>
      <c r="H13" s="196">
        <v>1196220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9600</v>
      </c>
      <c r="N13" s="81">
        <f t="shared" si="4"/>
        <v>3740</v>
      </c>
      <c r="O13" s="81">
        <f t="shared" si="4"/>
        <v>0</v>
      </c>
      <c r="P13" s="81">
        <f t="shared" si="4"/>
        <v>0</v>
      </c>
      <c r="Q13" s="82">
        <f>SUM(K13:P13)</f>
        <v>13340</v>
      </c>
      <c r="R13" s="105"/>
    </row>
    <row r="14" spans="1:18" ht="24" customHeight="1" x14ac:dyDescent="0.2">
      <c r="A14" s="177" t="s">
        <v>48</v>
      </c>
      <c r="B14" s="166">
        <v>78201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78201</v>
      </c>
      <c r="Q14" s="32"/>
    </row>
    <row r="15" spans="1:18" ht="18" customHeight="1" x14ac:dyDescent="0.2">
      <c r="A15" s="173" t="s">
        <v>45</v>
      </c>
      <c r="B15" s="166">
        <v>141334.40999999997</v>
      </c>
      <c r="C15" s="152">
        <v>141334.40999999997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42439701.875251032</v>
      </c>
      <c r="C16" s="135">
        <f>C17+C18+C19+C20</f>
        <v>1924223.4575090001</v>
      </c>
      <c r="D16" s="135">
        <f>D17+D18+D19+D20</f>
        <v>8669308.2840700094</v>
      </c>
      <c r="E16" s="135">
        <f t="shared" ref="E16:G16" si="5">E17+E18+E19+E20</f>
        <v>1952419.236979</v>
      </c>
      <c r="F16" s="135">
        <f t="shared" si="5"/>
        <v>21579659.753314003</v>
      </c>
      <c r="G16" s="135">
        <f t="shared" si="5"/>
        <v>63622.239999999991</v>
      </c>
      <c r="H16" s="137">
        <f>H17+H18+H19+H20</f>
        <v>8250468.9033790193</v>
      </c>
    </row>
    <row r="17" spans="1:12" ht="18" customHeight="1" x14ac:dyDescent="0.2">
      <c r="A17" s="173" t="s">
        <v>46</v>
      </c>
      <c r="B17" s="166">
        <v>39865574.362183996</v>
      </c>
      <c r="C17" s="152">
        <v>0</v>
      </c>
      <c r="D17" s="152">
        <v>8669308.2840700094</v>
      </c>
      <c r="E17" s="152">
        <v>1942243.3074940001</v>
      </c>
      <c r="F17" s="152">
        <v>21263406.944358002</v>
      </c>
      <c r="G17" s="152">
        <v>63622.239999999991</v>
      </c>
      <c r="H17" s="196">
        <f>7926993.58626202-13340</f>
        <v>7913653.5862620203</v>
      </c>
      <c r="I17" s="11"/>
    </row>
    <row r="18" spans="1:12" ht="24" customHeight="1" x14ac:dyDescent="0.2">
      <c r="A18" s="177" t="s">
        <v>47</v>
      </c>
      <c r="B18" s="166">
        <v>591928.43555799988</v>
      </c>
      <c r="C18" s="152">
        <v>0</v>
      </c>
      <c r="D18" s="152">
        <v>0</v>
      </c>
      <c r="E18" s="152">
        <v>10175.929485000001</v>
      </c>
      <c r="F18" s="152">
        <v>273486.20895600005</v>
      </c>
      <c r="G18" s="152">
        <v>0</v>
      </c>
      <c r="H18" s="196">
        <v>308266.29711699998</v>
      </c>
      <c r="J18" s="212"/>
    </row>
    <row r="19" spans="1:12" ht="24" customHeight="1" x14ac:dyDescent="0.2">
      <c r="A19" s="177" t="s">
        <v>48</v>
      </c>
      <c r="B19" s="166">
        <v>71315.62</v>
      </c>
      <c r="C19" s="152">
        <v>0</v>
      </c>
      <c r="D19" s="152">
        <v>0</v>
      </c>
      <c r="E19" s="152">
        <v>0</v>
      </c>
      <c r="F19" s="152">
        <v>42766.6</v>
      </c>
      <c r="G19" s="152">
        <v>0</v>
      </c>
      <c r="H19" s="196">
        <v>28549.020000000004</v>
      </c>
      <c r="J19" s="212"/>
    </row>
    <row r="20" spans="1:12" ht="18" customHeight="1" x14ac:dyDescent="0.2">
      <c r="A20" s="173" t="s">
        <v>45</v>
      </c>
      <c r="B20" s="166">
        <v>1924223.4575090001</v>
      </c>
      <c r="C20" s="152">
        <v>1924223.4575090001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80739623.507551044</v>
      </c>
      <c r="C21" s="135">
        <f>C6+C11+C16</f>
        <v>2087611.9675090001</v>
      </c>
      <c r="D21" s="135">
        <f t="shared" ref="D21:H21" si="6">D6+D11+D16</f>
        <v>9320710.2840700094</v>
      </c>
      <c r="E21" s="135">
        <f t="shared" si="6"/>
        <v>2344033.0369790001</v>
      </c>
      <c r="F21" s="135">
        <f t="shared" si="6"/>
        <v>26066289.487714004</v>
      </c>
      <c r="G21" s="135">
        <f t="shared" si="6"/>
        <v>69662.239999999991</v>
      </c>
      <c r="H21" s="137">
        <f t="shared" si="6"/>
        <v>40851316.491279021</v>
      </c>
      <c r="J21" s="120">
        <v>80752963.507551</v>
      </c>
      <c r="K21" s="241" t="s">
        <v>57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-13339.999999955297</v>
      </c>
    </row>
    <row r="23" spans="1:12" ht="18" customHeight="1" thickBot="1" x14ac:dyDescent="0.25">
      <c r="A23" s="185" t="s">
        <v>14</v>
      </c>
      <c r="B23" s="214">
        <v>6970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</row>
    <row r="25" spans="1:12" ht="18" customHeight="1" x14ac:dyDescent="0.2">
      <c r="A25" s="124" t="s">
        <v>28</v>
      </c>
      <c r="B25" s="144">
        <f>B27+B28+B29+B26</f>
        <v>8.7332406200000001</v>
      </c>
      <c r="C25" s="144">
        <f>C26</f>
        <v>2.5215529399999999</v>
      </c>
      <c r="D25" s="144">
        <f t="shared" ref="D25:H25" si="7">D27+D28+D29+D26</f>
        <v>0.34550498499999999</v>
      </c>
      <c r="E25" s="144">
        <f>E27+E28+E29+E26</f>
        <v>2.8798999999999999E-3</v>
      </c>
      <c r="F25" s="144">
        <f t="shared" si="7"/>
        <v>5.5890619900000003</v>
      </c>
      <c r="G25" s="144">
        <f t="shared" si="7"/>
        <v>1.3843911E-2</v>
      </c>
      <c r="H25" s="145">
        <f t="shared" si="7"/>
        <v>0.26039689399999999</v>
      </c>
      <c r="J25" s="238"/>
    </row>
    <row r="26" spans="1:12" ht="18" customHeight="1" x14ac:dyDescent="0.2">
      <c r="A26" s="179" t="s">
        <v>45</v>
      </c>
      <c r="B26" s="168">
        <f>SUM(C26:H26)</f>
        <v>2.5215529399999999</v>
      </c>
      <c r="C26" s="169">
        <v>2.5215529399999999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>
        <v>2.5215529399999999</v>
      </c>
      <c r="K26" s="242" t="s">
        <v>59</v>
      </c>
    </row>
    <row r="27" spans="1:12" ht="18" customHeight="1" x14ac:dyDescent="0.2">
      <c r="A27" s="173" t="s">
        <v>46</v>
      </c>
      <c r="B27" s="168">
        <f>SUM(C27:H27)</f>
        <v>6.1906553479999999</v>
      </c>
      <c r="C27" s="169">
        <v>0</v>
      </c>
      <c r="D27" s="169">
        <v>0.34550498499999999</v>
      </c>
      <c r="E27" s="169">
        <v>2.8798999999999999E-3</v>
      </c>
      <c r="F27" s="169">
        <v>5.5804651789999999</v>
      </c>
      <c r="G27" s="169">
        <v>1.3843911E-2</v>
      </c>
      <c r="H27" s="180">
        <v>0.24796137300000001</v>
      </c>
      <c r="J27" s="91">
        <v>6.2116876800000007</v>
      </c>
      <c r="K27" s="105" t="s">
        <v>58</v>
      </c>
    </row>
    <row r="28" spans="1:12" ht="24" customHeight="1" x14ac:dyDescent="0.2">
      <c r="A28" s="177" t="s">
        <v>47</v>
      </c>
      <c r="B28" s="168">
        <f t="shared" ref="B28:B29" si="8">SUM(C28:H28)</f>
        <v>2.1032332000000001E-2</v>
      </c>
      <c r="C28" s="169">
        <v>0</v>
      </c>
      <c r="D28" s="169">
        <v>0</v>
      </c>
      <c r="E28" s="169">
        <v>0</v>
      </c>
      <c r="F28" s="169">
        <v>8.5968109999999993E-3</v>
      </c>
      <c r="G28" s="169">
        <v>0</v>
      </c>
      <c r="H28" s="180">
        <v>1.2435521E-2</v>
      </c>
      <c r="J28" s="244">
        <f>B25-J26-J27</f>
        <v>0</v>
      </c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20228061.836428002</v>
      </c>
      <c r="C31" s="234"/>
      <c r="D31" s="235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18620964.427459002</v>
      </c>
      <c r="C32" s="60"/>
      <c r="D32" s="236"/>
      <c r="E32" s="60"/>
      <c r="F32" s="60"/>
      <c r="G32" s="60"/>
      <c r="H32" s="88"/>
      <c r="J32" s="213">
        <v>18593742.427459002</v>
      </c>
      <c r="K32" s="105" t="s">
        <v>61</v>
      </c>
    </row>
    <row r="33" spans="1:11" ht="24" customHeight="1" x14ac:dyDescent="0.2">
      <c r="A33" s="148" t="s">
        <v>49</v>
      </c>
      <c r="B33" s="200">
        <v>320214.64976900001</v>
      </c>
      <c r="C33" s="61"/>
      <c r="D33" s="236"/>
      <c r="E33" s="60"/>
      <c r="F33" s="60"/>
      <c r="G33" s="60"/>
      <c r="H33" s="88"/>
      <c r="J33" s="120">
        <v>1607097.408969</v>
      </c>
      <c r="K33" s="105" t="s">
        <v>60</v>
      </c>
    </row>
    <row r="34" spans="1:11" ht="18" customHeight="1" x14ac:dyDescent="0.2">
      <c r="A34" s="149" t="s">
        <v>24</v>
      </c>
      <c r="B34" s="200">
        <v>1051263.6432</v>
      </c>
      <c r="C34" s="61"/>
      <c r="D34" s="236"/>
      <c r="E34" s="60"/>
      <c r="F34" s="60"/>
      <c r="G34" s="60"/>
      <c r="H34" s="88"/>
      <c r="J34" s="120">
        <v>27222</v>
      </c>
      <c r="K34" s="105" t="s">
        <v>62</v>
      </c>
    </row>
    <row r="35" spans="1:11" ht="18" customHeight="1" x14ac:dyDescent="0.2">
      <c r="A35" s="150" t="s">
        <v>20</v>
      </c>
      <c r="B35" s="200">
        <v>92186.225999999995</v>
      </c>
      <c r="C35" s="61"/>
      <c r="D35" s="236"/>
      <c r="E35" s="60"/>
      <c r="F35" s="60"/>
      <c r="G35" s="60"/>
      <c r="H35" s="88"/>
      <c r="J35" s="243">
        <f>B31-J32-J33-J34</f>
        <v>0</v>
      </c>
    </row>
    <row r="36" spans="1:11" ht="18" customHeight="1" x14ac:dyDescent="0.2">
      <c r="A36" s="150" t="s">
        <v>22</v>
      </c>
      <c r="B36" s="200">
        <v>102221.01000000001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41211.879999999997</v>
      </c>
      <c r="C37" s="201"/>
      <c r="D37" s="201"/>
      <c r="E37" s="201"/>
      <c r="F37" s="201"/>
      <c r="G37" s="201"/>
      <c r="H37" s="202"/>
    </row>
    <row r="38" spans="1:11" x14ac:dyDescent="0.2">
      <c r="B38" s="206"/>
      <c r="C38" s="32"/>
    </row>
    <row r="39" spans="1:11" x14ac:dyDescent="0.2">
      <c r="B39" s="32"/>
      <c r="C39" s="32"/>
    </row>
    <row r="40" spans="1:11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8671-2ADC-461D-AB82-489A691C7493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3" width="9.140625" hidden="1" customWidth="1"/>
    <col min="14" max="14" width="13.5703125" hidden="1" customWidth="1"/>
    <col min="15" max="16" width="9.140625" hidden="1" customWidth="1"/>
    <col min="17" max="17" width="12.7109375" hidden="1" customWidth="1"/>
    <col min="18" max="18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44774</v>
      </c>
      <c r="B3" s="389"/>
      <c r="C3" s="389"/>
      <c r="D3" s="389"/>
      <c r="E3" s="389"/>
      <c r="F3" s="389"/>
      <c r="G3" s="389"/>
      <c r="H3" s="389"/>
    </row>
    <row r="4" spans="1:18" ht="24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3675480.235907001</v>
      </c>
      <c r="C6" s="135">
        <f>C7+C8+C9+C10</f>
        <v>13414.510407</v>
      </c>
      <c r="D6" s="135">
        <f t="shared" ref="D6:F6" si="1">D7+D8+D9+D10</f>
        <v>60004.999999999993</v>
      </c>
      <c r="E6" s="135">
        <f t="shared" si="1"/>
        <v>321246.30000000005</v>
      </c>
      <c r="F6" s="135">
        <f t="shared" si="1"/>
        <v>1764403.0290000003</v>
      </c>
      <c r="G6" s="135">
        <f>G7+G8+G9+G10</f>
        <v>0</v>
      </c>
      <c r="H6" s="137">
        <f>H7+H8+H9+H10</f>
        <v>1516411.3965000007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v>3586925.7255000011</v>
      </c>
      <c r="C7" s="152">
        <v>0</v>
      </c>
      <c r="D7" s="152">
        <v>60004.999999999993</v>
      </c>
      <c r="E7" s="152">
        <v>321246.30000000005</v>
      </c>
      <c r="F7" s="152">
        <v>1760215.0290000003</v>
      </c>
      <c r="G7" s="152">
        <v>0</v>
      </c>
      <c r="H7" s="196">
        <v>1445459.3965000007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v>72348</v>
      </c>
      <c r="C8" s="152">
        <v>0</v>
      </c>
      <c r="D8" s="152">
        <v>0</v>
      </c>
      <c r="E8" s="152">
        <v>0</v>
      </c>
      <c r="F8" s="152">
        <v>4188</v>
      </c>
      <c r="G8" s="152">
        <v>0</v>
      </c>
      <c r="H8" s="196">
        <v>68160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v>2792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2792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v>13414.510407</v>
      </c>
      <c r="C10" s="152">
        <v>13414.510407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10332.000000000016</v>
      </c>
      <c r="N10" s="75">
        <v>3574</v>
      </c>
      <c r="O10" s="75"/>
      <c r="P10" s="75"/>
      <c r="Q10" s="76">
        <f>SUM(K10:P10)</f>
        <v>13906.000000000016</v>
      </c>
    </row>
    <row r="11" spans="1:18" ht="18" customHeight="1" x14ac:dyDescent="0.2">
      <c r="A11" s="176" t="s">
        <v>9</v>
      </c>
      <c r="B11" s="165">
        <f>D11+E11+F11+G11+H11+C11</f>
        <v>35373568.751200005</v>
      </c>
      <c r="C11" s="135">
        <f>C12+C13+C14+C15</f>
        <v>161999.56</v>
      </c>
      <c r="D11" s="135">
        <f t="shared" ref="D11:G11" si="2">D12+D13+D14+D15</f>
        <v>674591.63000000012</v>
      </c>
      <c r="E11" s="135">
        <f t="shared" si="2"/>
        <v>104489</v>
      </c>
      <c r="F11" s="135">
        <f t="shared" si="2"/>
        <v>3035844.7338000005</v>
      </c>
      <c r="G11" s="135">
        <f t="shared" si="2"/>
        <v>5800</v>
      </c>
      <c r="H11" s="137">
        <f>H12+H13+H14+H15</f>
        <v>31390843.827400003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10332.000000000016</v>
      </c>
      <c r="N11" s="77">
        <f t="shared" si="3"/>
        <v>3574</v>
      </c>
      <c r="O11" s="77">
        <f t="shared" si="3"/>
        <v>0</v>
      </c>
      <c r="P11" s="77">
        <f t="shared" si="3"/>
        <v>0</v>
      </c>
      <c r="Q11" s="77">
        <f>SUM(K11:P11)</f>
        <v>13906.000000000016</v>
      </c>
    </row>
    <row r="12" spans="1:18" ht="18" customHeight="1" x14ac:dyDescent="0.25">
      <c r="A12" s="173" t="s">
        <v>46</v>
      </c>
      <c r="B12" s="166">
        <v>33775971.262400001</v>
      </c>
      <c r="C12" s="152">
        <v>0</v>
      </c>
      <c r="D12" s="152">
        <v>674591.63000000012</v>
      </c>
      <c r="E12" s="152">
        <v>104489</v>
      </c>
      <c r="F12" s="152">
        <v>2969551.8050000006</v>
      </c>
      <c r="G12" s="152">
        <v>5800</v>
      </c>
      <c r="H12" s="196">
        <v>30021538.827400003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v>1318171.9287999999</v>
      </c>
      <c r="C13" s="152">
        <v>0</v>
      </c>
      <c r="D13" s="152">
        <v>0</v>
      </c>
      <c r="E13" s="152">
        <v>0</v>
      </c>
      <c r="F13" s="152">
        <v>66292.928799999994</v>
      </c>
      <c r="G13" s="152">
        <v>0</v>
      </c>
      <c r="H13" s="196">
        <v>1251879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10332.000000000016</v>
      </c>
      <c r="N13" s="81">
        <f t="shared" si="4"/>
        <v>3574</v>
      </c>
      <c r="O13" s="81">
        <f t="shared" si="4"/>
        <v>0</v>
      </c>
      <c r="P13" s="81">
        <f t="shared" si="4"/>
        <v>0</v>
      </c>
      <c r="Q13" s="82">
        <f>SUM(K13:P13)</f>
        <v>13906.000000000016</v>
      </c>
      <c r="R13" s="105"/>
    </row>
    <row r="14" spans="1:18" ht="24" customHeight="1" x14ac:dyDescent="0.2">
      <c r="A14" s="177" t="s">
        <v>48</v>
      </c>
      <c r="B14" s="166">
        <v>117426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117426</v>
      </c>
      <c r="Q14" s="32"/>
    </row>
    <row r="15" spans="1:18" ht="18" customHeight="1" x14ac:dyDescent="0.2">
      <c r="A15" s="173" t="s">
        <v>45</v>
      </c>
      <c r="B15" s="166">
        <v>161999.56</v>
      </c>
      <c r="C15" s="152">
        <v>161999.56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45378067.475823998</v>
      </c>
      <c r="C16" s="135">
        <f>C17+C18+C19+C20</f>
        <v>1874260.5686970002</v>
      </c>
      <c r="D16" s="135">
        <f>D17+D18+D19+D20</f>
        <v>9762752.4798459951</v>
      </c>
      <c r="E16" s="135">
        <f t="shared" ref="E16:G16" si="5">E17+E18+E19+E20</f>
        <v>2199151.568426</v>
      </c>
      <c r="F16" s="135">
        <f t="shared" si="5"/>
        <v>21639587.411219999</v>
      </c>
      <c r="G16" s="135">
        <f t="shared" si="5"/>
        <v>75565.320000000007</v>
      </c>
      <c r="H16" s="137">
        <f>H17+H18+H19+H20</f>
        <v>9826750.1276350003</v>
      </c>
    </row>
    <row r="17" spans="1:14" ht="18" customHeight="1" x14ac:dyDescent="0.2">
      <c r="A17" s="173" t="s">
        <v>46</v>
      </c>
      <c r="B17" s="166">
        <v>42754546.805182986</v>
      </c>
      <c r="C17" s="152">
        <v>0</v>
      </c>
      <c r="D17" s="152">
        <v>9762752.4798459951</v>
      </c>
      <c r="E17" s="152">
        <v>2188154.6418729997</v>
      </c>
      <c r="F17" s="152">
        <v>21248224.210377</v>
      </c>
      <c r="G17" s="152">
        <v>75565.320000000007</v>
      </c>
      <c r="H17" s="196">
        <f>9479850.153087-13906</f>
        <v>9465944.1530869994</v>
      </c>
      <c r="I17" s="11"/>
    </row>
    <row r="18" spans="1:14" ht="24" customHeight="1" x14ac:dyDescent="0.2">
      <c r="A18" s="177" t="s">
        <v>47</v>
      </c>
      <c r="B18" s="166">
        <v>693805.34194399999</v>
      </c>
      <c r="C18" s="152">
        <v>0</v>
      </c>
      <c r="D18" s="152">
        <v>0</v>
      </c>
      <c r="E18" s="152">
        <v>10996.926552999999</v>
      </c>
      <c r="F18" s="152">
        <v>353671.00084300002</v>
      </c>
      <c r="G18" s="152">
        <v>0</v>
      </c>
      <c r="H18" s="196">
        <v>329137.41454800009</v>
      </c>
      <c r="J18" s="212"/>
    </row>
    <row r="19" spans="1:14" ht="24" customHeight="1" x14ac:dyDescent="0.2">
      <c r="A19" s="177" t="s">
        <v>48</v>
      </c>
      <c r="B19" s="166">
        <v>69360.760000000009</v>
      </c>
      <c r="C19" s="152">
        <v>0</v>
      </c>
      <c r="D19" s="152">
        <v>0</v>
      </c>
      <c r="E19" s="152">
        <v>0</v>
      </c>
      <c r="F19" s="152">
        <v>37692.200000000004</v>
      </c>
      <c r="G19" s="152">
        <v>0</v>
      </c>
      <c r="H19" s="196">
        <v>31668.559999999998</v>
      </c>
      <c r="J19" s="212"/>
    </row>
    <row r="20" spans="1:14" ht="18" customHeight="1" x14ac:dyDescent="0.2">
      <c r="A20" s="173" t="s">
        <v>45</v>
      </c>
      <c r="B20" s="166">
        <v>1874260.5686970002</v>
      </c>
      <c r="C20" s="152">
        <v>1874260.5686970002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D21+E21+F21+G21+H21+C21</f>
        <v>84427116.462930992</v>
      </c>
      <c r="C21" s="135">
        <f>C6+C11+C16</f>
        <v>2049674.6391040001</v>
      </c>
      <c r="D21" s="135">
        <f t="shared" ref="D21:H21" si="6">D6+D11+D16</f>
        <v>10497349.109845996</v>
      </c>
      <c r="E21" s="135">
        <f t="shared" si="6"/>
        <v>2624886.8684259998</v>
      </c>
      <c r="F21" s="135">
        <f t="shared" si="6"/>
        <v>26439835.17402</v>
      </c>
      <c r="G21" s="135">
        <f t="shared" si="6"/>
        <v>81365.320000000007</v>
      </c>
      <c r="H21" s="137">
        <f t="shared" si="6"/>
        <v>42734005.351535007</v>
      </c>
      <c r="J21" s="120">
        <v>84441022.462931007</v>
      </c>
      <c r="K21" s="241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-13906.000000014901</v>
      </c>
    </row>
    <row r="23" spans="1:14" ht="18" customHeight="1" thickBot="1" x14ac:dyDescent="0.25">
      <c r="A23" s="185" t="s">
        <v>14</v>
      </c>
      <c r="B23" s="214">
        <v>6012</v>
      </c>
      <c r="C23" s="204"/>
      <c r="D23" s="160"/>
      <c r="E23" s="160"/>
      <c r="F23" s="160"/>
      <c r="G23" s="160"/>
      <c r="H23" s="205"/>
    </row>
    <row r="24" spans="1:14" s="155" customFormat="1" ht="24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</row>
    <row r="25" spans="1:14" ht="18" customHeight="1" x14ac:dyDescent="0.2">
      <c r="A25" s="124" t="s">
        <v>28</v>
      </c>
      <c r="B25" s="144">
        <f>B27+B28+B29+B26</f>
        <v>9.033817054</v>
      </c>
      <c r="C25" s="144">
        <f t="shared" ref="C25:H25" si="7">C27+C28+C29+C26</f>
        <v>2.4873889739999999</v>
      </c>
      <c r="D25" s="144">
        <f t="shared" si="7"/>
        <v>0.351548315</v>
      </c>
      <c r="E25" s="144">
        <f t="shared" si="7"/>
        <v>2.955194E-3</v>
      </c>
      <c r="F25" s="144">
        <f t="shared" si="7"/>
        <v>5.9227842869999998</v>
      </c>
      <c r="G25" s="144">
        <f t="shared" si="7"/>
        <v>1.3960930999999999E-2</v>
      </c>
      <c r="H25" s="145">
        <f t="shared" si="7"/>
        <v>0.255179353</v>
      </c>
      <c r="J25" s="238"/>
    </row>
    <row r="26" spans="1:14" ht="18" customHeight="1" x14ac:dyDescent="0.2">
      <c r="A26" s="179" t="s">
        <v>45</v>
      </c>
      <c r="B26" s="168">
        <f>SUM(C26:H26)</f>
        <v>2.4873889739999999</v>
      </c>
      <c r="C26" s="169">
        <v>2.4873889739999999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45">
        <v>2.4873889739999999</v>
      </c>
      <c r="K26" s="242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6.5254849919999991</v>
      </c>
      <c r="C27" s="169">
        <v>0</v>
      </c>
      <c r="D27" s="169">
        <v>0.351548315</v>
      </c>
      <c r="E27" s="169">
        <v>2.955194E-3</v>
      </c>
      <c r="F27" s="169">
        <v>5.9139401469999999</v>
      </c>
      <c r="G27" s="169">
        <v>1.3960930999999999E-2</v>
      </c>
      <c r="H27" s="180">
        <v>0.243080405</v>
      </c>
      <c r="J27" s="245">
        <v>6.5464280799999992</v>
      </c>
      <c r="K27" s="105" t="s">
        <v>58</v>
      </c>
      <c r="L27" s="246"/>
      <c r="N27" s="247"/>
    </row>
    <row r="28" spans="1:14" ht="24" customHeight="1" x14ac:dyDescent="0.2">
      <c r="A28" s="177" t="s">
        <v>47</v>
      </c>
      <c r="B28" s="168">
        <f t="shared" ref="B28:B29" si="8">SUM(C28:H28)</f>
        <v>2.0943087999999999E-2</v>
      </c>
      <c r="C28" s="169">
        <v>0</v>
      </c>
      <c r="D28" s="169">
        <v>0</v>
      </c>
      <c r="E28" s="169">
        <v>0</v>
      </c>
      <c r="F28" s="169">
        <v>8.8441400000000003E-3</v>
      </c>
      <c r="G28" s="169">
        <v>0</v>
      </c>
      <c r="H28" s="180">
        <v>1.2098948E-2</v>
      </c>
      <c r="J28" s="244">
        <f>B25-J26-J27</f>
        <v>0</v>
      </c>
      <c r="L28" s="105"/>
    </row>
    <row r="29" spans="1:14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</row>
    <row r="31" spans="1:14" ht="51.75" customHeight="1" x14ac:dyDescent="0.2">
      <c r="A31" s="124" t="s">
        <v>29</v>
      </c>
      <c r="B31" s="125">
        <f>SUM(B32:B37)</f>
        <v>21029265.244739998</v>
      </c>
      <c r="C31" s="234"/>
      <c r="D31" s="235"/>
      <c r="E31" s="116"/>
      <c r="F31" s="116"/>
      <c r="G31" s="116"/>
      <c r="H31" s="117"/>
    </row>
    <row r="32" spans="1:14" ht="18" customHeight="1" x14ac:dyDescent="0.2">
      <c r="A32" s="150" t="s">
        <v>46</v>
      </c>
      <c r="B32" s="152">
        <v>18940384.127034999</v>
      </c>
      <c r="C32" s="60"/>
      <c r="D32" s="236"/>
      <c r="E32" s="60"/>
      <c r="F32" s="60"/>
      <c r="G32" s="60"/>
      <c r="H32" s="88"/>
      <c r="J32" s="120">
        <v>17979878.647034999</v>
      </c>
      <c r="K32" s="105" t="s">
        <v>61</v>
      </c>
    </row>
    <row r="33" spans="1:11" ht="24" customHeight="1" x14ac:dyDescent="0.2">
      <c r="A33" s="148" t="s">
        <v>49</v>
      </c>
      <c r="B33" s="200">
        <v>346525.54817000002</v>
      </c>
      <c r="C33" s="61"/>
      <c r="D33" s="236"/>
      <c r="E33" s="60"/>
      <c r="F33" s="60"/>
      <c r="G33" s="60"/>
      <c r="H33" s="88"/>
      <c r="J33" s="120">
        <f>346525.54817+1524158.3396+58455.4515+117386.296+42355.482435</f>
        <v>2088881.1177050001</v>
      </c>
      <c r="K33" s="105" t="s">
        <v>60</v>
      </c>
    </row>
    <row r="34" spans="1:11" ht="18" customHeight="1" x14ac:dyDescent="0.2">
      <c r="A34" s="149" t="s">
        <v>24</v>
      </c>
      <c r="B34" s="200">
        <v>1524158.3396000001</v>
      </c>
      <c r="C34" s="61"/>
      <c r="D34" s="236"/>
      <c r="E34" s="60"/>
      <c r="F34" s="60"/>
      <c r="G34" s="60"/>
      <c r="H34" s="88"/>
      <c r="J34" s="120">
        <v>960505.48</v>
      </c>
      <c r="K34" s="105" t="s">
        <v>62</v>
      </c>
    </row>
    <row r="35" spans="1:11" ht="18" customHeight="1" x14ac:dyDescent="0.2">
      <c r="A35" s="150" t="s">
        <v>20</v>
      </c>
      <c r="B35" s="200">
        <v>58455.451500000003</v>
      </c>
      <c r="C35" s="61"/>
      <c r="D35" s="236"/>
      <c r="E35" s="60"/>
      <c r="F35" s="60"/>
      <c r="G35" s="60"/>
      <c r="H35" s="88"/>
      <c r="J35" s="248">
        <f>B31-J32-J33-J34</f>
        <v>-9.3132257461547852E-10</v>
      </c>
    </row>
    <row r="36" spans="1:11" ht="18" customHeight="1" x14ac:dyDescent="0.2">
      <c r="A36" s="150" t="s">
        <v>22</v>
      </c>
      <c r="B36" s="200">
        <v>117386.296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42355.482434999998</v>
      </c>
      <c r="C37" s="201"/>
      <c r="D37" s="201"/>
      <c r="E37" s="201"/>
      <c r="F37" s="201"/>
      <c r="G37" s="201"/>
      <c r="H37" s="202"/>
    </row>
    <row r="38" spans="1:11" x14ac:dyDescent="0.2">
      <c r="B38" s="206"/>
      <c r="C38" s="32"/>
    </row>
    <row r="39" spans="1:11" x14ac:dyDescent="0.2">
      <c r="B39" s="32"/>
      <c r="C39" s="32"/>
    </row>
    <row r="40" spans="1:11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2249-54CC-4717-8F17-B1AB2F89DD93}">
  <sheetPr>
    <tabColor rgb="FFCCFFCC"/>
    <pageSetUpPr fitToPage="1"/>
  </sheetPr>
  <dimension ref="A1:R53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3" width="9.140625" hidden="1" customWidth="1"/>
    <col min="14" max="14" width="13.5703125" hidden="1" customWidth="1"/>
    <col min="15" max="16" width="9.140625" hidden="1" customWidth="1"/>
    <col min="17" max="17" width="12.7109375" hidden="1" customWidth="1"/>
    <col min="18" max="18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44805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4320885.3776000002</v>
      </c>
      <c r="C6" s="135">
        <f>SUM(C7:C10)</f>
        <v>28705.189599999998</v>
      </c>
      <c r="D6" s="135">
        <f t="shared" ref="D6:H6" si="0">SUM(D7:D10)</f>
        <v>51815</v>
      </c>
      <c r="E6" s="135">
        <f t="shared" si="0"/>
        <v>317852.14</v>
      </c>
      <c r="F6" s="135">
        <f t="shared" si="0"/>
        <v>1773635.3694999998</v>
      </c>
      <c r="G6" s="135">
        <f t="shared" si="0"/>
        <v>0</v>
      </c>
      <c r="H6" s="137">
        <f t="shared" si="0"/>
        <v>2148877.6785000004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4171612.1880000001</v>
      </c>
      <c r="C7" s="152">
        <v>0</v>
      </c>
      <c r="D7" s="152">
        <v>51815</v>
      </c>
      <c r="E7" s="152">
        <v>317852.14</v>
      </c>
      <c r="F7" s="152">
        <v>1768863.3694999998</v>
      </c>
      <c r="G7" s="152">
        <v>0</v>
      </c>
      <c r="H7" s="196">
        <v>2033081.6785000004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115414</v>
      </c>
      <c r="C8" s="152">
        <v>0</v>
      </c>
      <c r="D8" s="152">
        <v>0</v>
      </c>
      <c r="E8" s="152">
        <v>0</v>
      </c>
      <c r="F8" s="152">
        <v>4772</v>
      </c>
      <c r="G8" s="152">
        <v>0</v>
      </c>
      <c r="H8" s="196">
        <v>110642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f t="shared" si="1"/>
        <v>5154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5154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28705.189599999998</v>
      </c>
      <c r="C10" s="152">
        <v>28705.189599999998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7230</v>
      </c>
      <c r="N10" s="75">
        <v>2827</v>
      </c>
      <c r="O10" s="75"/>
      <c r="P10" s="75"/>
      <c r="Q10" s="76">
        <f>SUM(K10:P10)</f>
        <v>10057</v>
      </c>
    </row>
    <row r="11" spans="1:18" ht="18" customHeight="1" x14ac:dyDescent="0.2">
      <c r="A11" s="176" t="s">
        <v>9</v>
      </c>
      <c r="B11" s="165">
        <f t="shared" si="1"/>
        <v>36412694.287500001</v>
      </c>
      <c r="C11" s="135">
        <f>SUM(C12:C15)</f>
        <v>159957.75</v>
      </c>
      <c r="D11" s="135">
        <f t="shared" ref="D11:H11" si="2">SUM(D12:D15)</f>
        <v>686868</v>
      </c>
      <c r="E11" s="135">
        <f t="shared" si="2"/>
        <v>111653</v>
      </c>
      <c r="F11" s="135">
        <f t="shared" si="2"/>
        <v>2804591.6830000002</v>
      </c>
      <c r="G11" s="135">
        <f t="shared" si="2"/>
        <v>5560</v>
      </c>
      <c r="H11" s="137">
        <f t="shared" si="2"/>
        <v>32644063.854499999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7230</v>
      </c>
      <c r="N11" s="77">
        <f t="shared" si="3"/>
        <v>2827</v>
      </c>
      <c r="O11" s="77">
        <f t="shared" si="3"/>
        <v>0</v>
      </c>
      <c r="P11" s="77">
        <f t="shared" si="3"/>
        <v>0</v>
      </c>
      <c r="Q11" s="77">
        <f>SUM(K11:P11)</f>
        <v>10057</v>
      </c>
    </row>
    <row r="12" spans="1:18" ht="18" customHeight="1" x14ac:dyDescent="0.25">
      <c r="A12" s="173" t="s">
        <v>46</v>
      </c>
      <c r="B12" s="166">
        <f t="shared" si="1"/>
        <v>34762738.129500002</v>
      </c>
      <c r="C12" s="152">
        <v>0</v>
      </c>
      <c r="D12" s="152">
        <v>686868</v>
      </c>
      <c r="E12" s="152">
        <v>111653</v>
      </c>
      <c r="F12" s="152">
        <v>2742841.2750000004</v>
      </c>
      <c r="G12" s="152">
        <v>5560</v>
      </c>
      <c r="H12" s="196">
        <v>31215815.854499999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1398288.4080000001</v>
      </c>
      <c r="C13" s="152">
        <v>0</v>
      </c>
      <c r="D13" s="152">
        <v>0</v>
      </c>
      <c r="E13" s="152">
        <v>0</v>
      </c>
      <c r="F13" s="152">
        <v>61750.407999999996</v>
      </c>
      <c r="G13" s="152">
        <v>0</v>
      </c>
      <c r="H13" s="196">
        <v>1336538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7230</v>
      </c>
      <c r="N13" s="81">
        <f t="shared" si="4"/>
        <v>2827</v>
      </c>
      <c r="O13" s="81">
        <f t="shared" si="4"/>
        <v>0</v>
      </c>
      <c r="P13" s="81">
        <f t="shared" si="4"/>
        <v>0</v>
      </c>
      <c r="Q13" s="82">
        <f>SUM(K13:P13)</f>
        <v>10057</v>
      </c>
      <c r="R13" s="105"/>
    </row>
    <row r="14" spans="1:18" ht="24" customHeight="1" x14ac:dyDescent="0.2">
      <c r="A14" s="177" t="s">
        <v>48</v>
      </c>
      <c r="B14" s="166">
        <f t="shared" si="1"/>
        <v>91710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91710</v>
      </c>
      <c r="Q14" s="32"/>
    </row>
    <row r="15" spans="1:18" ht="18" customHeight="1" x14ac:dyDescent="0.2">
      <c r="A15" s="173" t="s">
        <v>45</v>
      </c>
      <c r="B15" s="166">
        <f t="shared" si="1"/>
        <v>159957.75</v>
      </c>
      <c r="C15" s="152">
        <v>159957.75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43702762.828767031</v>
      </c>
      <c r="C16" s="135">
        <f>SUM(C17:C20)</f>
        <v>2020611.9799569997</v>
      </c>
      <c r="D16" s="135">
        <f t="shared" ref="D16:H16" si="5">SUM(D17:D20)</f>
        <v>9561401.1369739976</v>
      </c>
      <c r="E16" s="135">
        <f t="shared" si="5"/>
        <v>2473001.8469139999</v>
      </c>
      <c r="F16" s="135">
        <f t="shared" si="5"/>
        <v>21529706.200056031</v>
      </c>
      <c r="G16" s="135">
        <f t="shared" si="5"/>
        <v>57574.178747000005</v>
      </c>
      <c r="H16" s="137">
        <f t="shared" si="5"/>
        <v>8060467.4861190002</v>
      </c>
    </row>
    <row r="17" spans="1:14" ht="18" customHeight="1" x14ac:dyDescent="0.2">
      <c r="A17" s="173" t="s">
        <v>46</v>
      </c>
      <c r="B17" s="166">
        <f t="shared" si="1"/>
        <v>40864540.780214027</v>
      </c>
      <c r="C17" s="152">
        <v>0</v>
      </c>
      <c r="D17" s="152">
        <v>9561401.1369739976</v>
      </c>
      <c r="E17" s="152">
        <v>2461861.2379149999</v>
      </c>
      <c r="F17" s="152">
        <v>21101577.49018703</v>
      </c>
      <c r="G17" s="152">
        <v>57574.178747000005</v>
      </c>
      <c r="H17" s="196">
        <f>7692183.736391-10057</f>
        <v>7682126.7363910004</v>
      </c>
      <c r="I17" s="11"/>
    </row>
    <row r="18" spans="1:14" ht="24" customHeight="1" x14ac:dyDescent="0.2">
      <c r="A18" s="177" t="s">
        <v>47</v>
      </c>
      <c r="B18" s="166">
        <f t="shared" si="1"/>
        <v>742608.56859600008</v>
      </c>
      <c r="C18" s="152">
        <v>0</v>
      </c>
      <c r="D18" s="152">
        <v>0</v>
      </c>
      <c r="E18" s="152">
        <v>11140.608999000002</v>
      </c>
      <c r="F18" s="152">
        <v>383187.50986900006</v>
      </c>
      <c r="G18" s="152">
        <v>0</v>
      </c>
      <c r="H18" s="196">
        <v>348280.44972799998</v>
      </c>
      <c r="J18" s="212"/>
    </row>
    <row r="19" spans="1:14" ht="24" customHeight="1" x14ac:dyDescent="0.2">
      <c r="A19" s="177" t="s">
        <v>48</v>
      </c>
      <c r="B19" s="166">
        <f t="shared" si="1"/>
        <v>75001.5</v>
      </c>
      <c r="C19" s="152">
        <v>0</v>
      </c>
      <c r="D19" s="152">
        <v>0</v>
      </c>
      <c r="E19" s="152">
        <v>0</v>
      </c>
      <c r="F19" s="152">
        <v>44941.2</v>
      </c>
      <c r="G19" s="152">
        <v>0</v>
      </c>
      <c r="H19" s="196">
        <v>30060.300000000003</v>
      </c>
      <c r="J19" s="212"/>
    </row>
    <row r="20" spans="1:14" ht="18" customHeight="1" x14ac:dyDescent="0.2">
      <c r="A20" s="173" t="s">
        <v>45</v>
      </c>
      <c r="B20" s="166">
        <f t="shared" si="1"/>
        <v>2020611.9799569997</v>
      </c>
      <c r="C20" s="152">
        <v>2020611.9799569997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84436342.49386704</v>
      </c>
      <c r="C21" s="135">
        <f>C6+C11+C16</f>
        <v>2209274.9195569996</v>
      </c>
      <c r="D21" s="135">
        <f t="shared" ref="D21:H21" si="6">D6+D11+D16</f>
        <v>10300084.136973998</v>
      </c>
      <c r="E21" s="135">
        <f t="shared" si="6"/>
        <v>2902506.986914</v>
      </c>
      <c r="F21" s="135">
        <f t="shared" si="6"/>
        <v>26107933.252556033</v>
      </c>
      <c r="G21" s="135">
        <f t="shared" si="6"/>
        <v>63134.178747000005</v>
      </c>
      <c r="H21" s="137">
        <f t="shared" si="6"/>
        <v>42853409.019119002</v>
      </c>
      <c r="J21" s="249">
        <v>84446399.493867025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4525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9.2450916890000006</v>
      </c>
      <c r="C25" s="144">
        <f>SUM(C26:C29)</f>
        <v>2.5155392270000001</v>
      </c>
      <c r="D25" s="144">
        <f t="shared" ref="D25:H25" si="7">SUM(D26:D29)</f>
        <v>0.37387082900000002</v>
      </c>
      <c r="E25" s="144">
        <f t="shared" si="7"/>
        <v>2.8151180000000001E-3</v>
      </c>
      <c r="F25" s="144">
        <f t="shared" si="7"/>
        <v>6.1068142730000003</v>
      </c>
      <c r="G25" s="144">
        <f t="shared" si="7"/>
        <v>1.3889540000000001E-2</v>
      </c>
      <c r="H25" s="145">
        <f t="shared" si="7"/>
        <v>0.232162702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2.5155392270000001</v>
      </c>
      <c r="C26" s="169">
        <v>2.5155392270000001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2.5155392270000001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6.7105907490000005</v>
      </c>
      <c r="C27" s="169">
        <v>0</v>
      </c>
      <c r="D27" s="169">
        <v>0.37387082900000002</v>
      </c>
      <c r="E27" s="169">
        <v>2.8151180000000001E-3</v>
      </c>
      <c r="F27" s="169">
        <v>6.0986364350000004</v>
      </c>
      <c r="G27" s="169">
        <v>1.3889540000000001E-2</v>
      </c>
      <c r="H27" s="180">
        <v>0.221378827</v>
      </c>
      <c r="J27" s="251">
        <v>6.7295524620000009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1.8961712999999998E-2</v>
      </c>
      <c r="C28" s="169">
        <v>0</v>
      </c>
      <c r="D28" s="169">
        <v>0</v>
      </c>
      <c r="E28" s="169">
        <v>0</v>
      </c>
      <c r="F28" s="169">
        <v>8.1778379999999998E-3</v>
      </c>
      <c r="G28" s="169">
        <v>0</v>
      </c>
      <c r="H28" s="180">
        <v>1.0783875E-2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23042889.419659004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20216783.215045001</v>
      </c>
      <c r="C32" s="60"/>
      <c r="D32" s="236"/>
      <c r="E32" s="60"/>
      <c r="F32" s="60"/>
      <c r="G32" s="60"/>
      <c r="H32" s="88"/>
      <c r="J32" s="249">
        <f>D40</f>
        <v>20071807.215045001</v>
      </c>
      <c r="K32" s="257" t="s">
        <v>61</v>
      </c>
    </row>
    <row r="33" spans="1:11" ht="24" customHeight="1" x14ac:dyDescent="0.2">
      <c r="A33" s="148" t="s">
        <v>49</v>
      </c>
      <c r="B33" s="200">
        <v>371176.95949500002</v>
      </c>
      <c r="C33" s="61"/>
      <c r="D33" s="236"/>
      <c r="E33" s="60"/>
      <c r="F33" s="60"/>
      <c r="G33" s="60"/>
      <c r="H33" s="88"/>
      <c r="J33" s="249">
        <f>D46</f>
        <v>2826106.2046140004</v>
      </c>
      <c r="K33" s="257" t="s">
        <v>60</v>
      </c>
    </row>
    <row r="34" spans="1:11" ht="18" customHeight="1" x14ac:dyDescent="0.2">
      <c r="A34" s="149" t="s">
        <v>24</v>
      </c>
      <c r="B34" s="200">
        <v>2173592.943</v>
      </c>
      <c r="C34" s="61"/>
      <c r="D34" s="236"/>
      <c r="E34" s="60"/>
      <c r="F34" s="60"/>
      <c r="G34" s="60"/>
      <c r="H34" s="88"/>
      <c r="J34" s="249">
        <v>-144976</v>
      </c>
      <c r="K34" s="257" t="s">
        <v>62</v>
      </c>
    </row>
    <row r="35" spans="1:11" ht="18" customHeight="1" x14ac:dyDescent="0.2">
      <c r="A35" s="150" t="s">
        <v>20</v>
      </c>
      <c r="B35" s="200">
        <v>90699.945500000002</v>
      </c>
      <c r="C35" s="61"/>
      <c r="D35" s="236"/>
      <c r="E35" s="60"/>
      <c r="F35" s="60"/>
      <c r="G35" s="60"/>
      <c r="H35" s="88"/>
      <c r="J35" s="250">
        <f>B31-J32-J33+J34</f>
        <v>1.862645149230957E-9</v>
      </c>
    </row>
    <row r="36" spans="1:11" ht="18" customHeight="1" x14ac:dyDescent="0.2">
      <c r="A36" s="150" t="s">
        <v>22</v>
      </c>
      <c r="B36" s="200">
        <v>146961.916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43674.440619000001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06"/>
      <c r="C39" s="32"/>
    </row>
    <row r="40" spans="1:11" hidden="1" x14ac:dyDescent="0.2">
      <c r="A40" s="255" t="s">
        <v>46</v>
      </c>
      <c r="B40" s="249">
        <v>20071807.215044994</v>
      </c>
      <c r="C40" s="249">
        <f>B32-B40</f>
        <v>144976.00000000745</v>
      </c>
      <c r="D40" s="259">
        <v>20071807.215045001</v>
      </c>
      <c r="E40" s="249">
        <f>B40-D40</f>
        <v>0</v>
      </c>
    </row>
    <row r="41" spans="1:11" hidden="1" x14ac:dyDescent="0.2">
      <c r="A41" s="255" t="s">
        <v>49</v>
      </c>
      <c r="B41" s="249">
        <v>371176.95949499996</v>
      </c>
      <c r="C41" s="249">
        <f t="shared" ref="C41:C45" si="8">B33-B41</f>
        <v>0</v>
      </c>
      <c r="D41" s="259">
        <v>371176.95949500002</v>
      </c>
      <c r="E41" s="249">
        <f>B41-D41</f>
        <v>0</v>
      </c>
    </row>
    <row r="42" spans="1:11" hidden="1" x14ac:dyDescent="0.2">
      <c r="A42" s="255" t="s">
        <v>24</v>
      </c>
      <c r="B42" s="249">
        <v>2173592.9430000014</v>
      </c>
      <c r="C42" s="249">
        <f t="shared" si="8"/>
        <v>0</v>
      </c>
      <c r="D42" s="259">
        <v>2173592.943</v>
      </c>
      <c r="E42" s="249">
        <f t="shared" ref="E42:E45" si="9">B42-D42</f>
        <v>0</v>
      </c>
    </row>
    <row r="43" spans="1:11" hidden="1" x14ac:dyDescent="0.2">
      <c r="A43" s="255" t="s">
        <v>20</v>
      </c>
      <c r="B43" s="249">
        <v>90699.945500000002</v>
      </c>
      <c r="C43" s="249">
        <f t="shared" si="8"/>
        <v>0</v>
      </c>
      <c r="D43" s="259">
        <v>90699.945500000002</v>
      </c>
      <c r="E43" s="249">
        <f t="shared" si="9"/>
        <v>0</v>
      </c>
    </row>
    <row r="44" spans="1:11" hidden="1" x14ac:dyDescent="0.2">
      <c r="A44" s="255" t="s">
        <v>22</v>
      </c>
      <c r="B44" s="249">
        <v>146961.91599999979</v>
      </c>
      <c r="C44" s="249">
        <f t="shared" si="8"/>
        <v>0</v>
      </c>
      <c r="D44" s="259">
        <v>146961.916</v>
      </c>
      <c r="E44" s="249">
        <f t="shared" si="9"/>
        <v>0</v>
      </c>
    </row>
    <row r="45" spans="1:11" hidden="1" x14ac:dyDescent="0.2">
      <c r="A45" s="255" t="s">
        <v>42</v>
      </c>
      <c r="B45" s="249">
        <v>43674.440619000001</v>
      </c>
      <c r="C45" s="249">
        <f t="shared" si="8"/>
        <v>0</v>
      </c>
      <c r="D45" s="259">
        <v>43674.440619000001</v>
      </c>
      <c r="E45" s="249">
        <f t="shared" si="9"/>
        <v>0</v>
      </c>
    </row>
    <row r="46" spans="1:11" hidden="1" x14ac:dyDescent="0.2">
      <c r="B46" s="249">
        <f>SUM(B41:B45)</f>
        <v>2826106.2046140013</v>
      </c>
      <c r="C46" s="249">
        <f t="shared" ref="C46:E46" si="10">SUM(C41:C45)</f>
        <v>0</v>
      </c>
      <c r="D46" s="249">
        <f t="shared" si="10"/>
        <v>2826106.2046140004</v>
      </c>
      <c r="E46" s="249">
        <f t="shared" si="10"/>
        <v>0</v>
      </c>
    </row>
    <row r="47" spans="1:11" hidden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E79B-A9CE-4C39-8DB7-DDB0845031CA}">
  <sheetPr>
    <tabColor rgb="FFCCFFCC"/>
    <pageSetUpPr fitToPage="1"/>
  </sheetPr>
  <dimension ref="A1:R56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0" hidden="1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44835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5444628.1940000001</v>
      </c>
      <c r="C6" s="135">
        <f>SUM(C7:C10)</f>
        <v>21335.4</v>
      </c>
      <c r="D6" s="135">
        <f t="shared" ref="D6:H6" si="0">SUM(D7:D10)</f>
        <v>68061</v>
      </c>
      <c r="E6" s="135">
        <f t="shared" si="0"/>
        <v>435505.16000000003</v>
      </c>
      <c r="F6" s="135">
        <f t="shared" si="0"/>
        <v>2069033.4385000002</v>
      </c>
      <c r="G6" s="135">
        <f t="shared" si="0"/>
        <v>0</v>
      </c>
      <c r="H6" s="137">
        <f t="shared" si="0"/>
        <v>2850693.1955000004</v>
      </c>
      <c r="J6" s="262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5285150.7940000007</v>
      </c>
      <c r="C7" s="152">
        <v>0</v>
      </c>
      <c r="D7" s="152">
        <v>68061</v>
      </c>
      <c r="E7" s="152">
        <v>435505.16000000003</v>
      </c>
      <c r="F7" s="152">
        <v>2062745.4385000002</v>
      </c>
      <c r="G7" s="152">
        <v>0</v>
      </c>
      <c r="H7" s="196">
        <v>2718839.1955000004</v>
      </c>
      <c r="J7" s="263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132031</v>
      </c>
      <c r="C8" s="152">
        <v>0</v>
      </c>
      <c r="D8" s="152">
        <v>0</v>
      </c>
      <c r="E8" s="152">
        <v>0</v>
      </c>
      <c r="F8" s="152">
        <v>6288</v>
      </c>
      <c r="G8" s="152">
        <v>0</v>
      </c>
      <c r="H8" s="196">
        <v>125743</v>
      </c>
      <c r="J8" s="187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4" t="s">
        <v>48</v>
      </c>
      <c r="B9" s="166">
        <f t="shared" si="1"/>
        <v>6111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6111</v>
      </c>
      <c r="J9" s="189" t="s">
        <v>40</v>
      </c>
      <c r="K9" s="75"/>
      <c r="L9" s="75">
        <v>0</v>
      </c>
      <c r="M9" s="75"/>
      <c r="N9" s="75"/>
      <c r="O9" s="75"/>
      <c r="P9" s="75"/>
      <c r="Q9" s="190">
        <f>SUM(K9:P9)</f>
        <v>0</v>
      </c>
    </row>
    <row r="10" spans="1:18" ht="18" customHeight="1" x14ac:dyDescent="0.2">
      <c r="A10" s="173" t="s">
        <v>45</v>
      </c>
      <c r="B10" s="166">
        <f t="shared" si="1"/>
        <v>21335.4</v>
      </c>
      <c r="C10" s="152">
        <v>21335.4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189" t="s">
        <v>41</v>
      </c>
      <c r="K10" s="75"/>
      <c r="L10" s="75">
        <v>0</v>
      </c>
      <c r="M10" s="75">
        <v>5838</v>
      </c>
      <c r="N10" s="75">
        <v>3629</v>
      </c>
      <c r="O10" s="75"/>
      <c r="P10" s="75"/>
      <c r="Q10" s="190">
        <f>SUM(K10:P10)</f>
        <v>9467</v>
      </c>
    </row>
    <row r="11" spans="1:18" ht="18" customHeight="1" x14ac:dyDescent="0.2">
      <c r="A11" s="176" t="s">
        <v>9</v>
      </c>
      <c r="B11" s="165">
        <f t="shared" si="1"/>
        <v>36964391.051211007</v>
      </c>
      <c r="C11" s="135">
        <f>SUM(C12:C15)</f>
        <v>187000.72</v>
      </c>
      <c r="D11" s="135">
        <f t="shared" ref="D11:H11" si="2">SUM(D12:D15)</f>
        <v>683454.01</v>
      </c>
      <c r="E11" s="135">
        <f t="shared" si="2"/>
        <v>125124</v>
      </c>
      <c r="F11" s="135">
        <f t="shared" si="2"/>
        <v>2791230.3840010003</v>
      </c>
      <c r="G11" s="135">
        <f t="shared" si="2"/>
        <v>8040</v>
      </c>
      <c r="H11" s="137">
        <f t="shared" si="2"/>
        <v>33169541.937210005</v>
      </c>
      <c r="J11" s="189" t="s">
        <v>1</v>
      </c>
      <c r="K11" s="191">
        <f t="shared" ref="K11:P11" si="3">K9+K10</f>
        <v>0</v>
      </c>
      <c r="L11" s="191">
        <f t="shared" si="3"/>
        <v>0</v>
      </c>
      <c r="M11" s="191">
        <f t="shared" si="3"/>
        <v>5838</v>
      </c>
      <c r="N11" s="191">
        <f t="shared" si="3"/>
        <v>3629</v>
      </c>
      <c r="O11" s="191">
        <f t="shared" si="3"/>
        <v>0</v>
      </c>
      <c r="P11" s="191">
        <f t="shared" si="3"/>
        <v>0</v>
      </c>
      <c r="Q11" s="191">
        <f>SUM(K11:P11)</f>
        <v>9467</v>
      </c>
    </row>
    <row r="12" spans="1:18" ht="18" customHeight="1" x14ac:dyDescent="0.2">
      <c r="A12" s="173" t="s">
        <v>46</v>
      </c>
      <c r="B12" s="166">
        <f t="shared" si="1"/>
        <v>35207932.795211002</v>
      </c>
      <c r="C12" s="152">
        <v>0</v>
      </c>
      <c r="D12" s="152">
        <v>683454.01</v>
      </c>
      <c r="E12" s="152">
        <v>125124</v>
      </c>
      <c r="F12" s="152">
        <v>2759606.8480010005</v>
      </c>
      <c r="G12" s="152">
        <v>8040</v>
      </c>
      <c r="H12" s="196">
        <v>31631707.937210005</v>
      </c>
      <c r="J12" s="189"/>
      <c r="K12" s="78"/>
      <c r="L12" s="78"/>
      <c r="M12" s="78"/>
      <c r="N12" s="78"/>
      <c r="O12" s="78"/>
      <c r="P12" s="78"/>
      <c r="Q12" s="192">
        <f>SUM(L12:P12)</f>
        <v>0</v>
      </c>
    </row>
    <row r="13" spans="1:18" ht="24" customHeight="1" x14ac:dyDescent="0.2">
      <c r="A13" s="177" t="s">
        <v>47</v>
      </c>
      <c r="B13" s="166">
        <f t="shared" si="1"/>
        <v>1473678.5360000001</v>
      </c>
      <c r="C13" s="152">
        <v>0</v>
      </c>
      <c r="D13" s="152">
        <v>0</v>
      </c>
      <c r="E13" s="152">
        <v>0</v>
      </c>
      <c r="F13" s="152">
        <v>31623.536</v>
      </c>
      <c r="G13" s="152">
        <v>0</v>
      </c>
      <c r="H13" s="196">
        <v>1442055</v>
      </c>
      <c r="J13" s="193" t="s">
        <v>39</v>
      </c>
      <c r="K13" s="194">
        <f t="shared" ref="K13:P13" si="4">K11+K12</f>
        <v>0</v>
      </c>
      <c r="L13" s="194">
        <f t="shared" si="4"/>
        <v>0</v>
      </c>
      <c r="M13" s="194">
        <f t="shared" si="4"/>
        <v>5838</v>
      </c>
      <c r="N13" s="194">
        <f t="shared" si="4"/>
        <v>3629</v>
      </c>
      <c r="O13" s="194">
        <f t="shared" si="4"/>
        <v>0</v>
      </c>
      <c r="P13" s="194">
        <f t="shared" si="4"/>
        <v>0</v>
      </c>
      <c r="Q13" s="195">
        <f>SUM(K13:P13)</f>
        <v>9467</v>
      </c>
      <c r="R13" s="105"/>
    </row>
    <row r="14" spans="1:18" ht="24" customHeight="1" x14ac:dyDescent="0.2">
      <c r="A14" s="177" t="s">
        <v>48</v>
      </c>
      <c r="B14" s="166">
        <f t="shared" si="1"/>
        <v>95779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95779</v>
      </c>
      <c r="Q14" s="32"/>
    </row>
    <row r="15" spans="1:18" ht="18" customHeight="1" x14ac:dyDescent="0.2">
      <c r="A15" s="173" t="s">
        <v>45</v>
      </c>
      <c r="B15" s="166">
        <f t="shared" si="1"/>
        <v>187000.72</v>
      </c>
      <c r="C15" s="152">
        <v>187000.72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52799237.894751012</v>
      </c>
      <c r="C16" s="135">
        <f>SUM(C17:C20)</f>
        <v>3074364.3306020005</v>
      </c>
      <c r="D16" s="135">
        <f t="shared" ref="D16:H16" si="5">SUM(D17:D20)</f>
        <v>11592413.182033997</v>
      </c>
      <c r="E16" s="135">
        <f t="shared" si="5"/>
        <v>1846542.159428</v>
      </c>
      <c r="F16" s="135">
        <f t="shared" si="5"/>
        <v>25141206.50408601</v>
      </c>
      <c r="G16" s="135">
        <f t="shared" si="5"/>
        <v>63764.289828000008</v>
      </c>
      <c r="H16" s="137">
        <f t="shared" si="5"/>
        <v>11080947.428773001</v>
      </c>
    </row>
    <row r="17" spans="1:14" ht="18" customHeight="1" x14ac:dyDescent="0.2">
      <c r="A17" s="173" t="s">
        <v>46</v>
      </c>
      <c r="B17" s="166">
        <f t="shared" si="1"/>
        <v>48832514.851479009</v>
      </c>
      <c r="C17" s="152">
        <v>0</v>
      </c>
      <c r="D17" s="152">
        <v>11592413.182033997</v>
      </c>
      <c r="E17" s="152">
        <v>1835805.3521439999</v>
      </c>
      <c r="F17" s="152">
        <v>24678399.247170009</v>
      </c>
      <c r="G17" s="152">
        <v>63764.289828000008</v>
      </c>
      <c r="H17" s="196">
        <f>10671599.780303-9467</f>
        <v>10662132.780303</v>
      </c>
      <c r="I17" s="11"/>
    </row>
    <row r="18" spans="1:14" ht="24" customHeight="1" x14ac:dyDescent="0.2">
      <c r="A18" s="177" t="s">
        <v>47</v>
      </c>
      <c r="B18" s="166">
        <f t="shared" si="1"/>
        <v>815035.1426700002</v>
      </c>
      <c r="C18" s="152">
        <v>0</v>
      </c>
      <c r="D18" s="152">
        <v>0</v>
      </c>
      <c r="E18" s="152">
        <v>10736.807284</v>
      </c>
      <c r="F18" s="152">
        <v>408903.65691600001</v>
      </c>
      <c r="G18" s="152">
        <v>0</v>
      </c>
      <c r="H18" s="196">
        <v>395394.67847000016</v>
      </c>
      <c r="J18" s="212"/>
    </row>
    <row r="19" spans="1:14" ht="24" customHeight="1" x14ac:dyDescent="0.2">
      <c r="A19" s="177" t="s">
        <v>48</v>
      </c>
      <c r="B19" s="166">
        <f t="shared" si="1"/>
        <v>77323.570000000007</v>
      </c>
      <c r="C19" s="152">
        <v>0</v>
      </c>
      <c r="D19" s="152">
        <v>0</v>
      </c>
      <c r="E19" s="152">
        <v>0</v>
      </c>
      <c r="F19" s="152">
        <v>53903.6</v>
      </c>
      <c r="G19" s="152">
        <v>0</v>
      </c>
      <c r="H19" s="196">
        <v>23419.97</v>
      </c>
      <c r="J19" s="212"/>
    </row>
    <row r="20" spans="1:14" ht="18" customHeight="1" x14ac:dyDescent="0.2">
      <c r="A20" s="173" t="s">
        <v>45</v>
      </c>
      <c r="B20" s="166">
        <f t="shared" si="1"/>
        <v>3074364.3306020005</v>
      </c>
      <c r="C20" s="152">
        <v>3074364.3306020005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95208257.139962018</v>
      </c>
      <c r="C21" s="135">
        <f>C6+C11+C16</f>
        <v>3282700.4506020006</v>
      </c>
      <c r="D21" s="135">
        <f t="shared" ref="D21:H21" si="6">D6+D11+D16</f>
        <v>12343928.192033997</v>
      </c>
      <c r="E21" s="135">
        <f t="shared" si="6"/>
        <v>2407171.3194280001</v>
      </c>
      <c r="F21" s="135">
        <f t="shared" si="6"/>
        <v>30001470.32658701</v>
      </c>
      <c r="G21" s="135">
        <f t="shared" si="6"/>
        <v>71804.289828000008</v>
      </c>
      <c r="H21" s="137">
        <f t="shared" si="6"/>
        <v>47101182.561483003</v>
      </c>
      <c r="J21" s="249">
        <v>95217724.139961988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6385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10.517019595999999</v>
      </c>
      <c r="C25" s="144">
        <f>SUM(C26:C29)</f>
        <v>3.7297033879999999</v>
      </c>
      <c r="D25" s="144">
        <f t="shared" ref="D25:H25" si="7">SUM(D26:D29)</f>
        <v>0.40788472399999998</v>
      </c>
      <c r="E25" s="144">
        <f t="shared" si="7"/>
        <v>2.8015000000000002E-3</v>
      </c>
      <c r="F25" s="144">
        <f t="shared" si="7"/>
        <v>6.133795256</v>
      </c>
      <c r="G25" s="144">
        <f t="shared" si="7"/>
        <v>1.3003806E-2</v>
      </c>
      <c r="H25" s="145">
        <f t="shared" si="7"/>
        <v>0.22983092199999999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3.7297033879999999</v>
      </c>
      <c r="C26" s="169">
        <v>3.7297033879999999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3.7297033879999999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6.7661867790000008</v>
      </c>
      <c r="C27" s="169">
        <v>0</v>
      </c>
      <c r="D27" s="169">
        <v>0.40788472399999998</v>
      </c>
      <c r="E27" s="169">
        <v>2.8015000000000002E-3</v>
      </c>
      <c r="F27" s="169">
        <v>6.1234469840000001</v>
      </c>
      <c r="G27" s="169">
        <v>1.3003806E-2</v>
      </c>
      <c r="H27" s="180">
        <v>0.21904976500000001</v>
      </c>
      <c r="J27" s="251">
        <v>6.787316208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2.1129428999999998E-2</v>
      </c>
      <c r="C28" s="169">
        <v>0</v>
      </c>
      <c r="D28" s="169">
        <v>0</v>
      </c>
      <c r="E28" s="169">
        <v>0</v>
      </c>
      <c r="F28" s="169">
        <v>1.0348272E-2</v>
      </c>
      <c r="G28" s="169">
        <v>0</v>
      </c>
      <c r="H28" s="180">
        <v>1.0781157E-2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29153158.931812994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26375535.986191995</v>
      </c>
      <c r="C32" s="60"/>
      <c r="D32" s="236"/>
      <c r="E32" s="60"/>
      <c r="F32" s="60"/>
      <c r="G32" s="60"/>
      <c r="H32" s="88"/>
      <c r="J32" s="249">
        <f>D40</f>
        <v>26411576.986191999</v>
      </c>
      <c r="K32" s="257" t="s">
        <v>61</v>
      </c>
    </row>
    <row r="33" spans="1:11" ht="24" customHeight="1" x14ac:dyDescent="0.2">
      <c r="A33" s="148" t="s">
        <v>49</v>
      </c>
      <c r="B33" s="200">
        <v>394279.32337699999</v>
      </c>
      <c r="C33" s="61"/>
      <c r="D33" s="236"/>
      <c r="E33" s="60"/>
      <c r="F33" s="60"/>
      <c r="G33" s="60"/>
      <c r="H33" s="88"/>
      <c r="J33" s="249">
        <f>D46</f>
        <v>2777622.9456210001</v>
      </c>
      <c r="K33" s="257" t="s">
        <v>60</v>
      </c>
    </row>
    <row r="34" spans="1:11" ht="18" customHeight="1" x14ac:dyDescent="0.2">
      <c r="A34" s="149" t="s">
        <v>24</v>
      </c>
      <c r="B34" s="200">
        <v>2096225.6143999998</v>
      </c>
      <c r="C34" s="61"/>
      <c r="D34" s="236"/>
      <c r="E34" s="60"/>
      <c r="F34" s="60"/>
      <c r="G34" s="60"/>
      <c r="H34" s="88"/>
      <c r="J34" s="249">
        <v>-36041</v>
      </c>
      <c r="K34" s="257" t="s">
        <v>62</v>
      </c>
    </row>
    <row r="35" spans="1:11" ht="18" customHeight="1" x14ac:dyDescent="0.2">
      <c r="A35" s="150" t="s">
        <v>20</v>
      </c>
      <c r="B35" s="200">
        <v>95541.491500000004</v>
      </c>
      <c r="C35" s="61"/>
      <c r="D35" s="236"/>
      <c r="E35" s="60"/>
      <c r="F35" s="60"/>
      <c r="G35" s="60"/>
      <c r="H35" s="88"/>
      <c r="J35" s="250">
        <f>B31-J32-J33-J34</f>
        <v>-5.1222741603851318E-9</v>
      </c>
    </row>
    <row r="36" spans="1:11" ht="18" customHeight="1" x14ac:dyDescent="0.2">
      <c r="A36" s="150" t="s">
        <v>22</v>
      </c>
      <c r="B36" s="200">
        <v>116485.43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75091.086343999996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26411576.986192036</v>
      </c>
      <c r="C40" s="249">
        <f>B32-B40</f>
        <v>-36041.000000040978</v>
      </c>
      <c r="D40" s="259">
        <v>26411576.986191999</v>
      </c>
      <c r="E40" s="249">
        <f>B40-D40</f>
        <v>3.7252902984619141E-8</v>
      </c>
    </row>
    <row r="41" spans="1:11" hidden="1" x14ac:dyDescent="0.2">
      <c r="A41" s="255" t="s">
        <v>49</v>
      </c>
      <c r="B41" s="249">
        <v>394279.32337699994</v>
      </c>
      <c r="C41" s="249">
        <f t="shared" ref="C41:C45" si="8">B33-B41</f>
        <v>0</v>
      </c>
      <c r="D41" s="259">
        <v>394279.32337699999</v>
      </c>
      <c r="E41" s="249">
        <f>B41-D41</f>
        <v>0</v>
      </c>
    </row>
    <row r="42" spans="1:11" hidden="1" x14ac:dyDescent="0.2">
      <c r="A42" s="255" t="s">
        <v>24</v>
      </c>
      <c r="B42" s="249">
        <v>2096225.6143999984</v>
      </c>
      <c r="C42" s="249">
        <f t="shared" si="8"/>
        <v>0</v>
      </c>
      <c r="D42" s="259">
        <v>2096225.6144000001</v>
      </c>
      <c r="E42" s="249">
        <f t="shared" ref="E42:E45" si="9">B42-D42</f>
        <v>0</v>
      </c>
    </row>
    <row r="43" spans="1:11" hidden="1" x14ac:dyDescent="0.2">
      <c r="A43" s="255" t="s">
        <v>20</v>
      </c>
      <c r="B43" s="249">
        <v>95541.491500000004</v>
      </c>
      <c r="C43" s="249">
        <f t="shared" si="8"/>
        <v>0</v>
      </c>
      <c r="D43" s="259">
        <v>95541.491500000004</v>
      </c>
      <c r="E43" s="249">
        <f t="shared" si="9"/>
        <v>0</v>
      </c>
    </row>
    <row r="44" spans="1:11" hidden="1" x14ac:dyDescent="0.2">
      <c r="A44" s="255" t="s">
        <v>22</v>
      </c>
      <c r="B44" s="249">
        <v>116485.43000000315</v>
      </c>
      <c r="C44" s="249">
        <f t="shared" si="8"/>
        <v>-3.1577656045556068E-9</v>
      </c>
      <c r="D44" s="259">
        <v>116485.43</v>
      </c>
      <c r="E44" s="249">
        <f>B44-D44</f>
        <v>3.1577656045556068E-9</v>
      </c>
    </row>
    <row r="45" spans="1:11" hidden="1" x14ac:dyDescent="0.2">
      <c r="A45" s="255" t="s">
        <v>42</v>
      </c>
      <c r="B45" s="249">
        <v>75091.08634400001</v>
      </c>
      <c r="C45" s="249">
        <f t="shared" si="8"/>
        <v>0</v>
      </c>
      <c r="D45" s="259">
        <v>75091.086343999996</v>
      </c>
      <c r="E45" s="249">
        <f t="shared" si="9"/>
        <v>0</v>
      </c>
    </row>
    <row r="46" spans="1:11" hidden="1" x14ac:dyDescent="0.2">
      <c r="B46" s="249">
        <f>SUM(B41:B45)</f>
        <v>2777622.9456210015</v>
      </c>
      <c r="C46" s="249">
        <f t="shared" ref="C46:E46" si="10">SUM(C41:C45)</f>
        <v>-3.1577656045556068E-9</v>
      </c>
      <c r="D46" s="249">
        <f t="shared" si="10"/>
        <v>2777622.9456210001</v>
      </c>
      <c r="E46" s="249">
        <f t="shared" si="10"/>
        <v>3.1577656045556068E-9</v>
      </c>
    </row>
    <row r="47" spans="1:11" hidden="1" x14ac:dyDescent="0.2">
      <c r="B47" s="249">
        <f>B46+B40</f>
        <v>29189199.931813039</v>
      </c>
      <c r="C47" s="249"/>
      <c r="D47" s="249">
        <f>D46+D40</f>
        <v>29189199.931812998</v>
      </c>
      <c r="E47" s="249"/>
    </row>
    <row r="48" spans="1:11" hidden="1" x14ac:dyDescent="0.2">
      <c r="B48" s="206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E607-6654-4F9D-88F2-FFD92A77C6BB}">
  <sheetPr>
    <tabColor rgb="FFCCFFCC"/>
    <pageSetUpPr fitToPage="1"/>
  </sheetPr>
  <dimension ref="A1:R56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44866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6666252.4726820011</v>
      </c>
      <c r="C6" s="135">
        <f>SUM(C7:C10)</f>
        <v>21394.900003999999</v>
      </c>
      <c r="D6" s="135">
        <f t="shared" ref="D6:H6" si="0">SUM(D7:D10)</f>
        <v>76041.098178</v>
      </c>
      <c r="E6" s="135">
        <f t="shared" si="0"/>
        <v>473230.77999999997</v>
      </c>
      <c r="F6" s="135">
        <f t="shared" si="0"/>
        <v>2475746.6400000006</v>
      </c>
      <c r="G6" s="135">
        <f t="shared" si="0"/>
        <v>0</v>
      </c>
      <c r="H6" s="137">
        <f t="shared" si="0"/>
        <v>3619839.054500001</v>
      </c>
      <c r="J6" s="262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6522267.5726780016</v>
      </c>
      <c r="C7" s="152">
        <v>0</v>
      </c>
      <c r="D7" s="152">
        <v>76041.098178</v>
      </c>
      <c r="E7" s="152">
        <v>473230.77999999997</v>
      </c>
      <c r="F7" s="152">
        <v>2468856.6400000006</v>
      </c>
      <c r="G7" s="152">
        <v>0</v>
      </c>
      <c r="H7" s="196">
        <v>3504139.054500001</v>
      </c>
      <c r="J7" s="263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117610</v>
      </c>
      <c r="C8" s="152">
        <v>0</v>
      </c>
      <c r="D8" s="152">
        <v>0</v>
      </c>
      <c r="E8" s="152">
        <v>0</v>
      </c>
      <c r="F8" s="152">
        <v>6890</v>
      </c>
      <c r="G8" s="152">
        <v>0</v>
      </c>
      <c r="H8" s="196">
        <v>110720</v>
      </c>
      <c r="J8" s="187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4" t="s">
        <v>48</v>
      </c>
      <c r="B9" s="166">
        <f t="shared" si="1"/>
        <v>4980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4980</v>
      </c>
      <c r="J9" s="189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21394.900003999999</v>
      </c>
      <c r="C10" s="152">
        <v>21394.900003999999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189" t="s">
        <v>41</v>
      </c>
      <c r="K10" s="75"/>
      <c r="L10" s="75">
        <v>0</v>
      </c>
      <c r="M10" s="75">
        <v>9683.9999999999927</v>
      </c>
      <c r="N10" s="75">
        <v>3169</v>
      </c>
      <c r="O10" s="75"/>
      <c r="P10" s="75"/>
      <c r="Q10" s="190">
        <v>12852.999999999993</v>
      </c>
    </row>
    <row r="11" spans="1:18" ht="18" customHeight="1" x14ac:dyDescent="0.2">
      <c r="A11" s="176" t="s">
        <v>9</v>
      </c>
      <c r="B11" s="165">
        <f t="shared" si="1"/>
        <v>39129820.85239999</v>
      </c>
      <c r="C11" s="135">
        <f>SUM(C12:C15)</f>
        <v>225593.72</v>
      </c>
      <c r="D11" s="135">
        <f t="shared" ref="D11:H11" si="2">SUM(D12:D15)</f>
        <v>878883</v>
      </c>
      <c r="E11" s="135">
        <f t="shared" si="2"/>
        <v>122703</v>
      </c>
      <c r="F11" s="135">
        <f t="shared" si="2"/>
        <v>2591490.0601999997</v>
      </c>
      <c r="G11" s="135">
        <f t="shared" si="2"/>
        <v>9240</v>
      </c>
      <c r="H11" s="137">
        <f t="shared" si="2"/>
        <v>35301911.072199993</v>
      </c>
      <c r="J11" s="189" t="s">
        <v>1</v>
      </c>
      <c r="K11" s="191">
        <v>0</v>
      </c>
      <c r="L11" s="191">
        <v>0</v>
      </c>
      <c r="M11" s="191">
        <v>9683.9999999999927</v>
      </c>
      <c r="N11" s="191">
        <v>3169</v>
      </c>
      <c r="O11" s="191">
        <v>0</v>
      </c>
      <c r="P11" s="191">
        <v>0</v>
      </c>
      <c r="Q11" s="191">
        <v>12852.999999999993</v>
      </c>
    </row>
    <row r="12" spans="1:18" ht="18" customHeight="1" x14ac:dyDescent="0.2">
      <c r="A12" s="173" t="s">
        <v>46</v>
      </c>
      <c r="B12" s="166">
        <f t="shared" si="1"/>
        <v>37291142.853199989</v>
      </c>
      <c r="C12" s="152">
        <v>0</v>
      </c>
      <c r="D12" s="152">
        <v>878883</v>
      </c>
      <c r="E12" s="152">
        <v>122703</v>
      </c>
      <c r="F12" s="152">
        <v>2560522.7809999995</v>
      </c>
      <c r="G12" s="152">
        <v>9240</v>
      </c>
      <c r="H12" s="196">
        <v>33719794.072199993</v>
      </c>
      <c r="J12" s="189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1521491.2792</v>
      </c>
      <c r="C13" s="152">
        <v>0</v>
      </c>
      <c r="D13" s="152">
        <v>0</v>
      </c>
      <c r="E13" s="152">
        <v>0</v>
      </c>
      <c r="F13" s="152">
        <v>30967.279200000001</v>
      </c>
      <c r="G13" s="152">
        <v>0</v>
      </c>
      <c r="H13" s="196">
        <v>1490524</v>
      </c>
      <c r="J13" s="193" t="s">
        <v>39</v>
      </c>
      <c r="K13" s="194">
        <v>0</v>
      </c>
      <c r="L13" s="194">
        <v>0</v>
      </c>
      <c r="M13" s="194">
        <v>9683.9999999999927</v>
      </c>
      <c r="N13" s="194">
        <v>3169</v>
      </c>
      <c r="O13" s="194">
        <v>0</v>
      </c>
      <c r="P13" s="194">
        <v>0</v>
      </c>
      <c r="Q13" s="195">
        <v>12852.999999999993</v>
      </c>
      <c r="R13" s="105"/>
    </row>
    <row r="14" spans="1:18" ht="24" customHeight="1" x14ac:dyDescent="0.2">
      <c r="A14" s="177" t="s">
        <v>48</v>
      </c>
      <c r="B14" s="166">
        <f t="shared" si="1"/>
        <v>91593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91593</v>
      </c>
      <c r="Q14" s="32"/>
    </row>
    <row r="15" spans="1:18" ht="18" customHeight="1" x14ac:dyDescent="0.2">
      <c r="A15" s="173" t="s">
        <v>45</v>
      </c>
      <c r="B15" s="166">
        <f t="shared" si="1"/>
        <v>225593.72</v>
      </c>
      <c r="C15" s="152">
        <v>225593.72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58708332.491004989</v>
      </c>
      <c r="C16" s="135">
        <f>SUM(C17:C20)</f>
        <v>3358369.3433010001</v>
      </c>
      <c r="D16" s="135">
        <f t="shared" ref="D16:H16" si="3">SUM(D17:D20)</f>
        <v>13114296.858468007</v>
      </c>
      <c r="E16" s="135">
        <f t="shared" si="3"/>
        <v>2054883.5011290004</v>
      </c>
      <c r="F16" s="135">
        <f t="shared" si="3"/>
        <v>27428177.069306981</v>
      </c>
      <c r="G16" s="135">
        <f t="shared" si="3"/>
        <v>230668.75820899999</v>
      </c>
      <c r="H16" s="137">
        <f t="shared" si="3"/>
        <v>12521936.960591</v>
      </c>
    </row>
    <row r="17" spans="1:14" ht="18" customHeight="1" x14ac:dyDescent="0.2">
      <c r="A17" s="173" t="s">
        <v>46</v>
      </c>
      <c r="B17" s="166">
        <f t="shared" si="1"/>
        <v>54310169.316186987</v>
      </c>
      <c r="C17" s="152">
        <v>0</v>
      </c>
      <c r="D17" s="152">
        <v>13114296.858468007</v>
      </c>
      <c r="E17" s="152">
        <v>2038731.0228450005</v>
      </c>
      <c r="F17" s="152">
        <v>26904540.12976798</v>
      </c>
      <c r="G17" s="152">
        <v>230668.75820899999</v>
      </c>
      <c r="H17" s="196">
        <f>12034785.546897-12853</f>
        <v>12021932.546897</v>
      </c>
      <c r="I17" s="11"/>
    </row>
    <row r="18" spans="1:14" ht="24" customHeight="1" x14ac:dyDescent="0.2">
      <c r="A18" s="177" t="s">
        <v>47</v>
      </c>
      <c r="B18" s="166">
        <f t="shared" si="1"/>
        <v>951083.98151699989</v>
      </c>
      <c r="C18" s="152">
        <v>0</v>
      </c>
      <c r="D18" s="152">
        <v>0</v>
      </c>
      <c r="E18" s="152">
        <v>16152.478283999999</v>
      </c>
      <c r="F18" s="152">
        <v>462144.139539</v>
      </c>
      <c r="G18" s="152">
        <v>0</v>
      </c>
      <c r="H18" s="196">
        <v>472787.36369399983</v>
      </c>
      <c r="J18" s="212"/>
    </row>
    <row r="19" spans="1:14" ht="24" customHeight="1" x14ac:dyDescent="0.2">
      <c r="A19" s="177" t="s">
        <v>48</v>
      </c>
      <c r="B19" s="166">
        <f t="shared" si="1"/>
        <v>88709.85</v>
      </c>
      <c r="C19" s="152">
        <v>0</v>
      </c>
      <c r="D19" s="152">
        <v>0</v>
      </c>
      <c r="E19" s="152">
        <v>0</v>
      </c>
      <c r="F19" s="152">
        <v>61492.799999999996</v>
      </c>
      <c r="G19" s="152">
        <v>0</v>
      </c>
      <c r="H19" s="196">
        <v>27217.050000000003</v>
      </c>
      <c r="J19" s="212"/>
    </row>
    <row r="20" spans="1:14" ht="18" customHeight="1" x14ac:dyDescent="0.2">
      <c r="A20" s="173" t="s">
        <v>45</v>
      </c>
      <c r="B20" s="166">
        <f t="shared" si="1"/>
        <v>3358369.3433010001</v>
      </c>
      <c r="C20" s="152">
        <v>3358369.3433010001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104504405.81608698</v>
      </c>
      <c r="C21" s="135">
        <f>C6+C11+C16</f>
        <v>3605357.9633050002</v>
      </c>
      <c r="D21" s="135">
        <f t="shared" ref="D21:H21" si="4">D6+D11+D16</f>
        <v>14069220.956646007</v>
      </c>
      <c r="E21" s="135">
        <f t="shared" si="4"/>
        <v>2650817.2811290007</v>
      </c>
      <c r="F21" s="135">
        <f t="shared" si="4"/>
        <v>32495413.769506983</v>
      </c>
      <c r="G21" s="135">
        <f t="shared" si="4"/>
        <v>239908.75820899999</v>
      </c>
      <c r="H21" s="137">
        <f t="shared" si="4"/>
        <v>51443687.087290987</v>
      </c>
      <c r="J21" s="249">
        <v>104517258.81608698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0</v>
      </c>
      <c r="K22" s="255"/>
    </row>
    <row r="23" spans="1:14" ht="18" customHeight="1" thickBot="1" x14ac:dyDescent="0.25">
      <c r="A23" s="185" t="s">
        <v>14</v>
      </c>
      <c r="B23" s="214">
        <v>5128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10.689073996999998</v>
      </c>
      <c r="C25" s="144">
        <f>SUM(C26:C29)</f>
        <v>3.620734568</v>
      </c>
      <c r="D25" s="144">
        <f t="shared" ref="D25:H25" si="5">SUM(D26:D29)</f>
        <v>0.40514903699999899</v>
      </c>
      <c r="E25" s="144">
        <f t="shared" si="5"/>
        <v>2.7915739999999998E-3</v>
      </c>
      <c r="F25" s="144">
        <f t="shared" si="5"/>
        <v>6.1845839839999996</v>
      </c>
      <c r="G25" s="144">
        <f t="shared" si="5"/>
        <v>0.24808718799999999</v>
      </c>
      <c r="H25" s="145">
        <f t="shared" si="5"/>
        <v>0.22772764600000001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3.620734568</v>
      </c>
      <c r="C26" s="169">
        <v>3.620734568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3.620734568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7.0441459099999992</v>
      </c>
      <c r="C27" s="169">
        <v>0</v>
      </c>
      <c r="D27" s="169">
        <v>0.40514903699999899</v>
      </c>
      <c r="E27" s="169">
        <v>2.7915739999999998E-3</v>
      </c>
      <c r="F27" s="169">
        <v>6.1715973489999998</v>
      </c>
      <c r="G27" s="169">
        <v>0.24808718799999999</v>
      </c>
      <c r="H27" s="180">
        <v>0.21652076200000001</v>
      </c>
      <c r="J27" s="251">
        <v>7.0683394289999999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2.4193519E-2</v>
      </c>
      <c r="C28" s="169">
        <v>0</v>
      </c>
      <c r="D28" s="169">
        <v>0</v>
      </c>
      <c r="E28" s="169">
        <v>0</v>
      </c>
      <c r="F28" s="169">
        <v>1.2986635E-2</v>
      </c>
      <c r="G28" s="169">
        <v>0</v>
      </c>
      <c r="H28" s="180">
        <v>1.1206884E-2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26731602.536935002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24345457.387281999</v>
      </c>
      <c r="C32" s="60"/>
      <c r="D32" s="236"/>
      <c r="E32" s="60"/>
      <c r="F32" s="60"/>
      <c r="G32" s="60"/>
      <c r="H32" s="88"/>
      <c r="J32" s="249">
        <f>D40</f>
        <v>24246964.313282002</v>
      </c>
      <c r="K32" s="257" t="s">
        <v>61</v>
      </c>
    </row>
    <row r="33" spans="1:11" ht="24" customHeight="1" x14ac:dyDescent="0.2">
      <c r="A33" s="148" t="s">
        <v>49</v>
      </c>
      <c r="B33" s="200">
        <v>422399.835984</v>
      </c>
      <c r="C33" s="61"/>
      <c r="D33" s="236"/>
      <c r="E33" s="60"/>
      <c r="F33" s="60"/>
      <c r="G33" s="60"/>
      <c r="H33" s="88"/>
      <c r="J33" s="249">
        <f>D46</f>
        <v>2386145.1496529998</v>
      </c>
      <c r="K33" s="257" t="s">
        <v>60</v>
      </c>
    </row>
    <row r="34" spans="1:11" ht="18" customHeight="1" x14ac:dyDescent="0.2">
      <c r="A34" s="149" t="s">
        <v>24</v>
      </c>
      <c r="B34" s="200">
        <v>1675285.8991999999</v>
      </c>
      <c r="C34" s="61"/>
      <c r="D34" s="236"/>
      <c r="E34" s="60"/>
      <c r="F34" s="60"/>
      <c r="G34" s="60"/>
      <c r="H34" s="88"/>
      <c r="J34" s="249">
        <v>98493.073999999993</v>
      </c>
      <c r="K34" s="257" t="s">
        <v>62</v>
      </c>
    </row>
    <row r="35" spans="1:11" ht="18" customHeight="1" x14ac:dyDescent="0.2">
      <c r="A35" s="150" t="s">
        <v>20</v>
      </c>
      <c r="B35" s="200">
        <v>162884.6195</v>
      </c>
      <c r="C35" s="61"/>
      <c r="D35" s="236"/>
      <c r="E35" s="60"/>
      <c r="F35" s="60"/>
      <c r="G35" s="60"/>
      <c r="H35" s="88"/>
      <c r="J35" s="250">
        <f>B31-J32-J33-J34</f>
        <v>0</v>
      </c>
    </row>
    <row r="36" spans="1:11" ht="18" customHeight="1" x14ac:dyDescent="0.2">
      <c r="A36" s="150" t="s">
        <v>22</v>
      </c>
      <c r="B36" s="200">
        <v>33306.635821999997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92268.159146999998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24246964.313282013</v>
      </c>
      <c r="C40" s="249">
        <f>B32-B40-J34</f>
        <v>-1.3940734788775444E-8</v>
      </c>
      <c r="D40" s="259">
        <v>24246964.313282002</v>
      </c>
      <c r="E40" s="249">
        <f>B40-D40</f>
        <v>0</v>
      </c>
    </row>
    <row r="41" spans="1:11" hidden="1" x14ac:dyDescent="0.2">
      <c r="A41" s="255" t="s">
        <v>49</v>
      </c>
      <c r="B41" s="249">
        <v>422399.83598397695</v>
      </c>
      <c r="C41" s="249">
        <f>B33-B41</f>
        <v>2.3050233721733093E-8</v>
      </c>
      <c r="D41" s="259">
        <v>422399.835984</v>
      </c>
      <c r="E41" s="249">
        <f>B41-D41</f>
        <v>-2.3050233721733093E-8</v>
      </c>
    </row>
    <row r="42" spans="1:11" hidden="1" x14ac:dyDescent="0.2">
      <c r="A42" s="255" t="s">
        <v>24</v>
      </c>
      <c r="B42" s="249">
        <v>1675285.8992000013</v>
      </c>
      <c r="C42" s="249">
        <f t="shared" ref="C42:C45" si="6">B34-B42</f>
        <v>0</v>
      </c>
      <c r="D42" s="259">
        <v>1675285.8992000001</v>
      </c>
      <c r="E42" s="249">
        <f>B42-D42</f>
        <v>0</v>
      </c>
    </row>
    <row r="43" spans="1:11" hidden="1" x14ac:dyDescent="0.2">
      <c r="A43" s="255" t="s">
        <v>20</v>
      </c>
      <c r="B43" s="249">
        <v>162884.61950000003</v>
      </c>
      <c r="C43" s="249">
        <f t="shared" si="6"/>
        <v>0</v>
      </c>
      <c r="D43" s="259">
        <v>162884.6195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33306.635821999982</v>
      </c>
      <c r="C44" s="249">
        <f t="shared" si="6"/>
        <v>0</v>
      </c>
      <c r="D44" s="259">
        <v>33306.635821999997</v>
      </c>
      <c r="E44" s="249">
        <f>B44-D44</f>
        <v>0</v>
      </c>
    </row>
    <row r="45" spans="1:11" hidden="1" x14ac:dyDescent="0.2">
      <c r="A45" s="255" t="s">
        <v>42</v>
      </c>
      <c r="B45" s="249">
        <v>92268.159146999998</v>
      </c>
      <c r="C45" s="249">
        <f t="shared" si="6"/>
        <v>0</v>
      </c>
      <c r="D45" s="259">
        <v>92268.159146999998</v>
      </c>
      <c r="E45" s="249">
        <f t="shared" si="7"/>
        <v>0</v>
      </c>
    </row>
    <row r="46" spans="1:11" hidden="1" x14ac:dyDescent="0.2">
      <c r="B46" s="249">
        <f>SUM(B41:B45)</f>
        <v>2386145.1496529784</v>
      </c>
      <c r="C46" s="249">
        <f t="shared" ref="C46:E46" si="8">SUM(C41:C45)</f>
        <v>2.3050233721733093E-8</v>
      </c>
      <c r="D46" s="249">
        <f>SUM(D41:D45)</f>
        <v>2386145.1496529998</v>
      </c>
      <c r="E46" s="249">
        <f t="shared" si="8"/>
        <v>-2.3050233721733093E-8</v>
      </c>
    </row>
    <row r="47" spans="1:11" hidden="1" x14ac:dyDescent="0.2">
      <c r="B47" s="249">
        <f>B46+B40</f>
        <v>26633109.462934993</v>
      </c>
      <c r="C47" s="249"/>
      <c r="D47" s="249">
        <f>D46+D40</f>
        <v>26633109.462935001</v>
      </c>
      <c r="E47" s="249"/>
    </row>
    <row r="48" spans="1:11" hidden="1" x14ac:dyDescent="0.2">
      <c r="B48" s="206">
        <v>2386145.1496529784</v>
      </c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  <row r="56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8B30-4419-48C5-A8BE-32DE76BF2E2D}">
  <sheetPr>
    <tabColor rgb="FFCCFFCC"/>
    <pageSetUpPr fitToPage="1"/>
  </sheetPr>
  <dimension ref="A1:R53"/>
  <sheetViews>
    <sheetView zoomScale="87" zoomScaleNormal="87" workbookViewId="0">
      <selection activeCell="A37" sqref="A37:XFD58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7" width="7.28515625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44896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7404961.3544040006</v>
      </c>
      <c r="C6" s="135">
        <f>SUM(C7:C10)</f>
        <v>20074</v>
      </c>
      <c r="D6" s="135">
        <f t="shared" ref="D6:H6" si="0">SUM(D7:D10)</f>
        <v>80990.908744</v>
      </c>
      <c r="E6" s="135">
        <f t="shared" si="0"/>
        <v>547120.82000000007</v>
      </c>
      <c r="F6" s="135">
        <f t="shared" si="0"/>
        <v>2787381.4379599993</v>
      </c>
      <c r="G6" s="135">
        <f t="shared" si="0"/>
        <v>0</v>
      </c>
      <c r="H6" s="137">
        <f t="shared" si="0"/>
        <v>3969394.1877000015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7281597.3544040006</v>
      </c>
      <c r="C7" s="152">
        <v>0</v>
      </c>
      <c r="D7" s="152">
        <v>80990.908744</v>
      </c>
      <c r="E7" s="152">
        <v>547120.82000000007</v>
      </c>
      <c r="F7" s="152">
        <v>2780347.4379599993</v>
      </c>
      <c r="G7" s="152">
        <v>0</v>
      </c>
      <c r="H7" s="196">
        <v>3873138.1877000015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98434</v>
      </c>
      <c r="C8" s="152">
        <v>0</v>
      </c>
      <c r="D8" s="152">
        <v>0</v>
      </c>
      <c r="E8" s="152">
        <v>0</v>
      </c>
      <c r="F8" s="152">
        <v>7034</v>
      </c>
      <c r="G8" s="152">
        <v>0</v>
      </c>
      <c r="H8" s="196">
        <v>91400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4856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4856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20074</v>
      </c>
      <c r="C10" s="152">
        <v>20074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7740</v>
      </c>
      <c r="N10" s="75">
        <v>3384</v>
      </c>
      <c r="O10" s="75"/>
      <c r="P10" s="75"/>
      <c r="Q10" s="76">
        <f>SUM(K10:P10)</f>
        <v>11124</v>
      </c>
    </row>
    <row r="11" spans="1:18" ht="18" customHeight="1" x14ac:dyDescent="0.2">
      <c r="A11" s="176" t="s">
        <v>9</v>
      </c>
      <c r="B11" s="165">
        <f t="shared" si="1"/>
        <v>42519455.922100998</v>
      </c>
      <c r="C11" s="135">
        <f>SUM(C12:C15)</f>
        <v>244824.05</v>
      </c>
      <c r="D11" s="135">
        <f t="shared" ref="D11:H11" si="2">SUM(D12:D15)</f>
        <v>728654</v>
      </c>
      <c r="E11" s="135">
        <f t="shared" si="2"/>
        <v>120390</v>
      </c>
      <c r="F11" s="135">
        <f t="shared" si="2"/>
        <v>4225076.1275999993</v>
      </c>
      <c r="G11" s="135">
        <f t="shared" si="2"/>
        <v>10240</v>
      </c>
      <c r="H11" s="137">
        <f t="shared" si="2"/>
        <v>37190271.744501002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7740</v>
      </c>
      <c r="N11" s="77">
        <f t="shared" si="3"/>
        <v>3384</v>
      </c>
      <c r="O11" s="77">
        <f t="shared" si="3"/>
        <v>0</v>
      </c>
      <c r="P11" s="77">
        <f t="shared" si="3"/>
        <v>0</v>
      </c>
      <c r="Q11" s="77">
        <f>SUM(K11:P11)</f>
        <v>11124</v>
      </c>
    </row>
    <row r="12" spans="1:18" ht="18" customHeight="1" x14ac:dyDescent="0.25">
      <c r="A12" s="173" t="s">
        <v>46</v>
      </c>
      <c r="B12" s="166">
        <f t="shared" si="1"/>
        <v>40680493.394501001</v>
      </c>
      <c r="C12" s="152">
        <v>0</v>
      </c>
      <c r="D12" s="152">
        <v>728654</v>
      </c>
      <c r="E12" s="152">
        <v>120390</v>
      </c>
      <c r="F12" s="152">
        <v>4199442.6499999994</v>
      </c>
      <c r="G12" s="152">
        <v>10240</v>
      </c>
      <c r="H12" s="196">
        <v>35621766.744501002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1492631.4776000001</v>
      </c>
      <c r="C13" s="152">
        <v>0</v>
      </c>
      <c r="D13" s="152">
        <v>0</v>
      </c>
      <c r="E13" s="152">
        <v>0</v>
      </c>
      <c r="F13" s="152">
        <v>25633.477599999998</v>
      </c>
      <c r="G13" s="152">
        <v>0</v>
      </c>
      <c r="H13" s="196">
        <v>1466998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7740</v>
      </c>
      <c r="N13" s="81">
        <f t="shared" si="4"/>
        <v>3384</v>
      </c>
      <c r="O13" s="81">
        <f t="shared" si="4"/>
        <v>0</v>
      </c>
      <c r="P13" s="81">
        <f t="shared" si="4"/>
        <v>0</v>
      </c>
      <c r="Q13" s="82">
        <f>SUM(K13:P13)</f>
        <v>11124</v>
      </c>
      <c r="R13" s="105"/>
    </row>
    <row r="14" spans="1:18" ht="24" customHeight="1" x14ac:dyDescent="0.2">
      <c r="A14" s="177" t="s">
        <v>48</v>
      </c>
      <c r="B14" s="166">
        <f t="shared" si="1"/>
        <v>101507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101507</v>
      </c>
      <c r="Q14" s="32"/>
    </row>
    <row r="15" spans="1:18" ht="18" customHeight="1" x14ac:dyDescent="0.2">
      <c r="A15" s="173" t="s">
        <v>45</v>
      </c>
      <c r="B15" s="166">
        <f t="shared" si="1"/>
        <v>244824.05</v>
      </c>
      <c r="C15" s="152">
        <v>244824.05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61765333.663681991</v>
      </c>
      <c r="C16" s="135">
        <f>SUM(C17:C20)</f>
        <v>4079682.2167920014</v>
      </c>
      <c r="D16" s="135">
        <f t="shared" ref="D16:H16" si="5">SUM(D17:D20)</f>
        <v>14403067.675628018</v>
      </c>
      <c r="E16" s="135">
        <f t="shared" si="5"/>
        <v>1849474.060758</v>
      </c>
      <c r="F16" s="135">
        <f t="shared" si="5"/>
        <v>28818079.513340972</v>
      </c>
      <c r="G16" s="135">
        <f t="shared" si="5"/>
        <v>196580.42222600002</v>
      </c>
      <c r="H16" s="137">
        <f t="shared" si="5"/>
        <v>12418449.774937002</v>
      </c>
    </row>
    <row r="17" spans="1:14" ht="18" customHeight="1" x14ac:dyDescent="0.2">
      <c r="A17" s="173" t="s">
        <v>46</v>
      </c>
      <c r="B17" s="166">
        <f t="shared" si="1"/>
        <v>56691644.390239984</v>
      </c>
      <c r="C17" s="152">
        <v>0</v>
      </c>
      <c r="D17" s="152">
        <v>14403067.675628018</v>
      </c>
      <c r="E17" s="152">
        <v>1845262.845618</v>
      </c>
      <c r="F17" s="152">
        <v>28334536.44958397</v>
      </c>
      <c r="G17" s="152">
        <v>196580.42222600002</v>
      </c>
      <c r="H17" s="196">
        <f>11923320.997184-11124</f>
        <v>11912196.997184001</v>
      </c>
      <c r="I17" s="11"/>
    </row>
    <row r="18" spans="1:14" ht="24" customHeight="1" x14ac:dyDescent="0.2">
      <c r="A18" s="177" t="s">
        <v>47</v>
      </c>
      <c r="B18" s="166">
        <f t="shared" si="1"/>
        <v>888798.6566499999</v>
      </c>
      <c r="C18" s="152">
        <v>0</v>
      </c>
      <c r="D18" s="152">
        <v>0</v>
      </c>
      <c r="E18" s="152">
        <v>4211.2151400000002</v>
      </c>
      <c r="F18" s="152">
        <v>405501.46375700005</v>
      </c>
      <c r="G18" s="152">
        <v>0</v>
      </c>
      <c r="H18" s="196">
        <v>479085.97775299987</v>
      </c>
      <c r="J18" s="212"/>
    </row>
    <row r="19" spans="1:14" ht="24" customHeight="1" x14ac:dyDescent="0.2">
      <c r="A19" s="177" t="s">
        <v>48</v>
      </c>
      <c r="B19" s="166">
        <f t="shared" si="1"/>
        <v>105208.4</v>
      </c>
      <c r="C19" s="152">
        <v>0</v>
      </c>
      <c r="D19" s="152">
        <v>0</v>
      </c>
      <c r="E19" s="152">
        <v>0</v>
      </c>
      <c r="F19" s="152">
        <v>78041.600000000006</v>
      </c>
      <c r="G19" s="152">
        <v>0</v>
      </c>
      <c r="H19" s="196">
        <v>27166.799999999988</v>
      </c>
      <c r="J19" s="212"/>
    </row>
    <row r="20" spans="1:14" ht="18" customHeight="1" x14ac:dyDescent="0.2">
      <c r="A20" s="173" t="s">
        <v>45</v>
      </c>
      <c r="B20" s="166">
        <f t="shared" si="1"/>
        <v>4079682.2167920014</v>
      </c>
      <c r="C20" s="152">
        <v>4079682.2167920014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111689750.94018699</v>
      </c>
      <c r="C21" s="135">
        <f>C6+C11+C16</f>
        <v>4344580.2667920012</v>
      </c>
      <c r="D21" s="135">
        <f t="shared" ref="D21:H21" si="6">D6+D11+D16</f>
        <v>15212712.584372018</v>
      </c>
      <c r="E21" s="135">
        <f t="shared" si="6"/>
        <v>2516984.8807580001</v>
      </c>
      <c r="F21" s="135">
        <f t="shared" si="6"/>
        <v>35830537.078900971</v>
      </c>
      <c r="G21" s="135">
        <f t="shared" si="6"/>
        <v>206820.42222600002</v>
      </c>
      <c r="H21" s="137">
        <f t="shared" si="6"/>
        <v>53578115.707138009</v>
      </c>
      <c r="J21" s="249">
        <v>111700874.94018701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-1.4901161193847656E-8</v>
      </c>
      <c r="K22" s="255"/>
    </row>
    <row r="23" spans="1:14" ht="18" customHeight="1" thickBot="1" x14ac:dyDescent="0.25">
      <c r="A23" s="185" t="s">
        <v>14</v>
      </c>
      <c r="B23" s="214">
        <v>10496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10.507395447999999</v>
      </c>
      <c r="C25" s="144">
        <f>SUM(C26:C29)</f>
        <v>3.7352018419999999</v>
      </c>
      <c r="D25" s="144">
        <f t="shared" ref="D25:H25" si="7">SUM(D26:D29)</f>
        <v>0.44017993100000002</v>
      </c>
      <c r="E25" s="144">
        <f t="shared" si="7"/>
        <v>3.0966259999999999E-3</v>
      </c>
      <c r="F25" s="144">
        <f t="shared" si="7"/>
        <v>5.9182911259999997</v>
      </c>
      <c r="G25" s="144">
        <f t="shared" si="7"/>
        <v>0.18389667700000001</v>
      </c>
      <c r="H25" s="145">
        <f t="shared" si="7"/>
        <v>0.226729246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3.7352018419999999</v>
      </c>
      <c r="C26" s="169">
        <v>3.7352018419999999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3.7352018419999999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6.7455673059999999</v>
      </c>
      <c r="C27" s="169">
        <v>0</v>
      </c>
      <c r="D27" s="169">
        <v>0.44017993100000002</v>
      </c>
      <c r="E27" s="169">
        <v>3.0966259999999999E-3</v>
      </c>
      <c r="F27" s="169">
        <v>5.9023636159999997</v>
      </c>
      <c r="G27" s="169">
        <v>0.18389667700000001</v>
      </c>
      <c r="H27" s="180">
        <v>0.21603045600000001</v>
      </c>
      <c r="J27" s="251">
        <v>6.7721936059999992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2.6626299999999999E-2</v>
      </c>
      <c r="C28" s="169">
        <v>0</v>
      </c>
      <c r="D28" s="169">
        <v>0</v>
      </c>
      <c r="E28" s="169">
        <v>0</v>
      </c>
      <c r="F28" s="169">
        <v>1.5927509999999999E-2</v>
      </c>
      <c r="G28" s="169">
        <v>0</v>
      </c>
      <c r="H28" s="180">
        <v>1.069879E-2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32786039.849222999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30068734.580336999</v>
      </c>
      <c r="C32" s="60"/>
      <c r="D32" s="236"/>
      <c r="E32" s="60"/>
      <c r="F32" s="60"/>
      <c r="G32" s="60"/>
      <c r="H32" s="88"/>
      <c r="J32" s="249">
        <f>D40</f>
        <v>31686224.580336999</v>
      </c>
      <c r="K32" s="257" t="s">
        <v>61</v>
      </c>
    </row>
    <row r="33" spans="1:11" ht="24" customHeight="1" x14ac:dyDescent="0.2">
      <c r="A33" s="148" t="s">
        <v>49</v>
      </c>
      <c r="B33" s="200">
        <v>409556.18573000003</v>
      </c>
      <c r="C33" s="61"/>
      <c r="D33" s="236"/>
      <c r="E33" s="60"/>
      <c r="F33" s="60"/>
      <c r="G33" s="60"/>
      <c r="H33" s="88"/>
      <c r="J33" s="249">
        <f>D46</f>
        <v>2717305.2688859999</v>
      </c>
      <c r="K33" s="257" t="s">
        <v>60</v>
      </c>
    </row>
    <row r="34" spans="1:11" ht="18" customHeight="1" x14ac:dyDescent="0.2">
      <c r="A34" s="149" t="s">
        <v>24</v>
      </c>
      <c r="B34" s="200">
        <v>1952275.3964</v>
      </c>
      <c r="C34" s="61"/>
      <c r="D34" s="236"/>
      <c r="E34" s="60"/>
      <c r="F34" s="60"/>
      <c r="G34" s="60"/>
      <c r="H34" s="88"/>
      <c r="J34" s="249">
        <v>-1617490</v>
      </c>
      <c r="K34" s="257" t="s">
        <v>62</v>
      </c>
    </row>
    <row r="35" spans="1:11" ht="18" customHeight="1" x14ac:dyDescent="0.2">
      <c r="A35" s="150" t="s">
        <v>20</v>
      </c>
      <c r="B35" s="200">
        <v>176746.36550000001</v>
      </c>
      <c r="C35" s="61"/>
      <c r="D35" s="236"/>
      <c r="E35" s="60"/>
      <c r="F35" s="60"/>
      <c r="G35" s="60"/>
      <c r="H35" s="88"/>
      <c r="J35" s="250">
        <f>B31-J32-J33-J34</f>
        <v>0</v>
      </c>
    </row>
    <row r="36" spans="1:11" ht="18" customHeight="1" x14ac:dyDescent="0.2">
      <c r="A36" s="150" t="s">
        <v>22</v>
      </c>
      <c r="B36" s="200">
        <v>34253.465256000003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144473.856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31686224.580336999</v>
      </c>
      <c r="C40" s="249">
        <f>B32-B40-J34</f>
        <v>0</v>
      </c>
      <c r="D40" s="259">
        <v>31686224.580336999</v>
      </c>
      <c r="E40" s="249">
        <f>B40-D40</f>
        <v>0</v>
      </c>
    </row>
    <row r="41" spans="1:11" hidden="1" x14ac:dyDescent="0.2">
      <c r="A41" s="255" t="s">
        <v>49</v>
      </c>
      <c r="B41" s="249">
        <v>409556.18573000003</v>
      </c>
      <c r="C41" s="249">
        <f>B33-B41</f>
        <v>0</v>
      </c>
      <c r="D41" s="259">
        <v>409556.18573000003</v>
      </c>
      <c r="E41" s="249">
        <f>B41-D41</f>
        <v>0</v>
      </c>
    </row>
    <row r="42" spans="1:11" hidden="1" x14ac:dyDescent="0.2">
      <c r="A42" s="255" t="s">
        <v>24</v>
      </c>
      <c r="B42" s="249">
        <v>1952275.3963999986</v>
      </c>
      <c r="C42" s="249">
        <f t="shared" ref="C42:C45" si="8">B34-B42</f>
        <v>0</v>
      </c>
      <c r="D42" s="266">
        <v>1952275.3964</v>
      </c>
      <c r="E42" s="249">
        <f>B42-D42</f>
        <v>0</v>
      </c>
    </row>
    <row r="43" spans="1:11" hidden="1" x14ac:dyDescent="0.2">
      <c r="A43" s="255" t="s">
        <v>20</v>
      </c>
      <c r="B43" s="249">
        <v>176746.36550000001</v>
      </c>
      <c r="C43" s="249">
        <f t="shared" si="8"/>
        <v>0</v>
      </c>
      <c r="D43" s="259">
        <v>176746.36550000001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34253.465255999996</v>
      </c>
      <c r="C44" s="249">
        <f t="shared" si="8"/>
        <v>0</v>
      </c>
      <c r="D44" s="259">
        <v>34253.465256000003</v>
      </c>
      <c r="E44" s="249">
        <f>B44-D44</f>
        <v>0</v>
      </c>
    </row>
    <row r="45" spans="1:11" hidden="1" x14ac:dyDescent="0.2">
      <c r="A45" s="255" t="s">
        <v>42</v>
      </c>
      <c r="B45" s="249">
        <v>144473.856</v>
      </c>
      <c r="C45" s="249">
        <f t="shared" si="8"/>
        <v>0</v>
      </c>
      <c r="D45" s="259">
        <v>144473.856</v>
      </c>
      <c r="E45" s="249">
        <f t="shared" si="9"/>
        <v>0</v>
      </c>
    </row>
    <row r="46" spans="1:11" hidden="1" x14ac:dyDescent="0.2">
      <c r="B46" s="249">
        <f>SUM(B41:B45)</f>
        <v>2717305.2688859985</v>
      </c>
      <c r="C46" s="249">
        <f>SUM(C40:C45)</f>
        <v>0</v>
      </c>
      <c r="D46" s="259">
        <f>SUM(D41:D45)</f>
        <v>2717305.2688859999</v>
      </c>
      <c r="E46" s="249">
        <f t="shared" ref="E46" si="10">SUM(E41:E45)</f>
        <v>0</v>
      </c>
    </row>
    <row r="47" spans="1:11" hidden="1" x14ac:dyDescent="0.2">
      <c r="B47" s="250">
        <f>B46+B40+J34-B32</f>
        <v>2717305.2688859962</v>
      </c>
      <c r="C47" s="249"/>
      <c r="D47" s="259">
        <f>D46+D40</f>
        <v>34403529.849223003</v>
      </c>
      <c r="E47" s="249"/>
    </row>
    <row r="48" spans="1:11" hidden="1" x14ac:dyDescent="0.2">
      <c r="B48" s="249">
        <v>2717305.268885999</v>
      </c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4851-0092-4973-BA64-56702517CF76}">
  <sheetPr>
    <tabColor rgb="FFCCFFFF"/>
    <pageSetUpPr fitToPage="1"/>
  </sheetPr>
  <dimension ref="A1:R52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44927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7651188.7111979993</v>
      </c>
      <c r="C6" s="135">
        <f>SUM(C7:C10)</f>
        <v>21370</v>
      </c>
      <c r="D6" s="135">
        <f t="shared" ref="D6:H6" si="0">SUM(D7:D10)</f>
        <v>77461.509384000005</v>
      </c>
      <c r="E6" s="135">
        <f t="shared" si="0"/>
        <v>568371.56000000006</v>
      </c>
      <c r="F6" s="135">
        <f t="shared" si="0"/>
        <v>2779243.9871140006</v>
      </c>
      <c r="G6" s="135">
        <f t="shared" si="0"/>
        <v>0</v>
      </c>
      <c r="H6" s="137">
        <f t="shared" si="0"/>
        <v>4204741.6546999989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7528518.9511979995</v>
      </c>
      <c r="C7" s="152">
        <v>0</v>
      </c>
      <c r="D7" s="152">
        <v>77461.509384000005</v>
      </c>
      <c r="E7" s="152">
        <v>568371.56000000006</v>
      </c>
      <c r="F7" s="152">
        <v>2771122.9871140006</v>
      </c>
      <c r="G7" s="152">
        <v>0</v>
      </c>
      <c r="H7" s="196">
        <v>4111562.8946999991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96195</v>
      </c>
      <c r="C8" s="152">
        <v>0</v>
      </c>
      <c r="D8" s="152">
        <v>0</v>
      </c>
      <c r="E8" s="152">
        <v>0</v>
      </c>
      <c r="F8" s="152">
        <v>8121</v>
      </c>
      <c r="G8" s="152">
        <v>0</v>
      </c>
      <c r="H8" s="196">
        <v>88074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5104.76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5104.76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21370</v>
      </c>
      <c r="C10" s="152">
        <v>21370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10026</v>
      </c>
      <c r="N10" s="75">
        <v>3631</v>
      </c>
      <c r="O10" s="75"/>
      <c r="P10" s="75"/>
      <c r="Q10" s="76">
        <f>SUM(K10:P10)</f>
        <v>13657</v>
      </c>
    </row>
    <row r="11" spans="1:18" ht="18" customHeight="1" x14ac:dyDescent="0.2">
      <c r="A11" s="176" t="s">
        <v>9</v>
      </c>
      <c r="B11" s="165">
        <f t="shared" si="1"/>
        <v>41742042.7487</v>
      </c>
      <c r="C11" s="135">
        <f>SUM(C12:C15)</f>
        <v>261776.31000000003</v>
      </c>
      <c r="D11" s="135">
        <f t="shared" ref="D11:H11" si="2">SUM(D12:D15)</f>
        <v>737960.99999999988</v>
      </c>
      <c r="E11" s="135">
        <f t="shared" si="2"/>
        <v>116629</v>
      </c>
      <c r="F11" s="135">
        <f t="shared" si="2"/>
        <v>2825153.6148000006</v>
      </c>
      <c r="G11" s="135">
        <f t="shared" si="2"/>
        <v>10400</v>
      </c>
      <c r="H11" s="137">
        <f t="shared" si="2"/>
        <v>37790122.823899999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10026</v>
      </c>
      <c r="N11" s="77">
        <f t="shared" si="3"/>
        <v>3631</v>
      </c>
      <c r="O11" s="77">
        <f t="shared" si="3"/>
        <v>0</v>
      </c>
      <c r="P11" s="77">
        <f t="shared" si="3"/>
        <v>0</v>
      </c>
      <c r="Q11" s="77">
        <f>SUM(K11:P11)</f>
        <v>13657</v>
      </c>
    </row>
    <row r="12" spans="1:18" ht="18" customHeight="1" x14ac:dyDescent="0.25">
      <c r="A12" s="173" t="s">
        <v>46</v>
      </c>
      <c r="B12" s="166">
        <f t="shared" si="1"/>
        <v>39766087.7139</v>
      </c>
      <c r="C12" s="152">
        <v>0</v>
      </c>
      <c r="D12" s="152">
        <v>737960.99999999988</v>
      </c>
      <c r="E12" s="152">
        <v>116629</v>
      </c>
      <c r="F12" s="152">
        <v>2795880.8900000006</v>
      </c>
      <c r="G12" s="152">
        <v>10400</v>
      </c>
      <c r="H12" s="196">
        <v>36105216.823899999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1613851.7248</v>
      </c>
      <c r="C13" s="152">
        <v>0</v>
      </c>
      <c r="D13" s="152">
        <v>0</v>
      </c>
      <c r="E13" s="152">
        <v>0</v>
      </c>
      <c r="F13" s="152">
        <v>29272.7248</v>
      </c>
      <c r="G13" s="152">
        <v>0</v>
      </c>
      <c r="H13" s="196">
        <v>1584579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10026</v>
      </c>
      <c r="N13" s="81">
        <f t="shared" si="4"/>
        <v>3631</v>
      </c>
      <c r="O13" s="81">
        <f t="shared" si="4"/>
        <v>0</v>
      </c>
      <c r="P13" s="81">
        <f t="shared" si="4"/>
        <v>0</v>
      </c>
      <c r="Q13" s="82">
        <f>SUM(K13:P13)</f>
        <v>13657</v>
      </c>
      <c r="R13" s="105"/>
    </row>
    <row r="14" spans="1:18" ht="24" customHeight="1" x14ac:dyDescent="0.2">
      <c r="A14" s="177" t="s">
        <v>48</v>
      </c>
      <c r="B14" s="166">
        <f t="shared" si="1"/>
        <v>100327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100327</v>
      </c>
      <c r="Q14" s="32"/>
    </row>
    <row r="15" spans="1:18" ht="18" customHeight="1" x14ac:dyDescent="0.2">
      <c r="A15" s="173" t="s">
        <v>45</v>
      </c>
      <c r="B15" s="166">
        <f t="shared" si="1"/>
        <v>261776.31000000003</v>
      </c>
      <c r="C15" s="152">
        <v>261776.31000000003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58778892.948262967</v>
      </c>
      <c r="C16" s="135">
        <f>SUM(C17:C20)</f>
        <v>4058921.1176279993</v>
      </c>
      <c r="D16" s="135">
        <f t="shared" ref="D16:H16" si="5">SUM(D17:D20)</f>
        <v>12915907.023400005</v>
      </c>
      <c r="E16" s="135">
        <f t="shared" si="5"/>
        <v>1850347.2316409997</v>
      </c>
      <c r="F16" s="135">
        <f t="shared" si="5"/>
        <v>27364078.638193965</v>
      </c>
      <c r="G16" s="135">
        <f t="shared" si="5"/>
        <v>205662.63370899999</v>
      </c>
      <c r="H16" s="137">
        <f t="shared" si="5"/>
        <v>12383976.303691</v>
      </c>
    </row>
    <row r="17" spans="1:14" ht="18" customHeight="1" x14ac:dyDescent="0.2">
      <c r="A17" s="173" t="s">
        <v>46</v>
      </c>
      <c r="B17" s="166">
        <f t="shared" si="1"/>
        <v>53491043.232386969</v>
      </c>
      <c r="C17" s="152">
        <v>0</v>
      </c>
      <c r="D17" s="152">
        <v>12915907.023400005</v>
      </c>
      <c r="E17" s="152">
        <v>1829198.1646019996</v>
      </c>
      <c r="F17" s="152">
        <v>26887187.912388965</v>
      </c>
      <c r="G17" s="152">
        <v>205662.63370899999</v>
      </c>
      <c r="H17" s="196">
        <f>11666744.498287-13657</f>
        <v>11653087.498287</v>
      </c>
      <c r="I17" s="11"/>
    </row>
    <row r="18" spans="1:14" ht="24" customHeight="1" x14ac:dyDescent="0.2">
      <c r="A18" s="177" t="s">
        <v>47</v>
      </c>
      <c r="B18" s="166">
        <f t="shared" si="1"/>
        <v>1119713.2382480002</v>
      </c>
      <c r="C18" s="152">
        <v>0</v>
      </c>
      <c r="D18" s="152">
        <v>0</v>
      </c>
      <c r="E18" s="152">
        <v>21149.067039000001</v>
      </c>
      <c r="F18" s="152">
        <v>396485.72580500005</v>
      </c>
      <c r="G18" s="152">
        <v>0</v>
      </c>
      <c r="H18" s="196">
        <v>702078.44540400011</v>
      </c>
      <c r="J18" s="212"/>
    </row>
    <row r="19" spans="1:14" ht="24" customHeight="1" x14ac:dyDescent="0.2">
      <c r="A19" s="177" t="s">
        <v>48</v>
      </c>
      <c r="B19" s="166">
        <f t="shared" si="1"/>
        <v>109215.36</v>
      </c>
      <c r="C19" s="152">
        <v>0</v>
      </c>
      <c r="D19" s="152">
        <v>0</v>
      </c>
      <c r="E19" s="152">
        <v>0</v>
      </c>
      <c r="F19" s="152">
        <v>80405</v>
      </c>
      <c r="G19" s="152">
        <v>0</v>
      </c>
      <c r="H19" s="196">
        <v>28810.36</v>
      </c>
      <c r="J19" s="212"/>
    </row>
    <row r="20" spans="1:14" ht="18" customHeight="1" x14ac:dyDescent="0.2">
      <c r="A20" s="173" t="s">
        <v>45</v>
      </c>
      <c r="B20" s="166">
        <f t="shared" si="1"/>
        <v>4058921.1176279993</v>
      </c>
      <c r="C20" s="152">
        <v>4058921.1176279993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108172124.40816097</v>
      </c>
      <c r="C21" s="135">
        <f>C6+C11+C16</f>
        <v>4342067.4276279993</v>
      </c>
      <c r="D21" s="135">
        <f t="shared" ref="D21:H21" si="6">D6+D11+D16</f>
        <v>13731329.532784006</v>
      </c>
      <c r="E21" s="135">
        <f t="shared" si="6"/>
        <v>2535347.7916409997</v>
      </c>
      <c r="F21" s="135">
        <f t="shared" si="6"/>
        <v>32968476.240107968</v>
      </c>
      <c r="G21" s="135">
        <f t="shared" si="6"/>
        <v>216062.63370899999</v>
      </c>
      <c r="H21" s="137">
        <f t="shared" si="6"/>
        <v>54378840.782290995</v>
      </c>
      <c r="J21" s="249">
        <v>108185781.408161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-2.9802322387695313E-8</v>
      </c>
      <c r="K22" s="255"/>
    </row>
    <row r="23" spans="1:14" ht="18" customHeight="1" thickBot="1" x14ac:dyDescent="0.25">
      <c r="A23" s="185" t="s">
        <v>14</v>
      </c>
      <c r="B23" s="214">
        <v>7188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10.800401404999999</v>
      </c>
      <c r="C25" s="144">
        <f>SUM(C26:C29)</f>
        <v>3.947742753</v>
      </c>
      <c r="D25" s="144">
        <f t="shared" ref="D25:H25" si="7">SUM(D26:D29)</f>
        <v>0.47796870800000002</v>
      </c>
      <c r="E25" s="144">
        <f t="shared" si="7"/>
        <v>3.2893269999999999E-3</v>
      </c>
      <c r="F25" s="144">
        <f t="shared" si="7"/>
        <v>5.9477754260000006</v>
      </c>
      <c r="G25" s="144">
        <f t="shared" si="7"/>
        <v>0.19895422099999999</v>
      </c>
      <c r="H25" s="145">
        <f t="shared" si="7"/>
        <v>0.22467097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3.947742753</v>
      </c>
      <c r="C26" s="169">
        <v>3.947742753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3.947742753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6.8244430240000007</v>
      </c>
      <c r="C27" s="169">
        <v>0</v>
      </c>
      <c r="D27" s="169">
        <v>0.47796870800000002</v>
      </c>
      <c r="E27" s="169">
        <v>3.2893269999999999E-3</v>
      </c>
      <c r="F27" s="169">
        <v>5.9296656920000004</v>
      </c>
      <c r="G27" s="169">
        <v>0.19895422099999999</v>
      </c>
      <c r="H27" s="180">
        <v>0.21456507599999999</v>
      </c>
      <c r="J27" s="251">
        <v>6.8526586519999997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2.8215628E-2</v>
      </c>
      <c r="C28" s="169">
        <v>0</v>
      </c>
      <c r="D28" s="169">
        <v>0</v>
      </c>
      <c r="E28" s="169">
        <v>0</v>
      </c>
      <c r="F28" s="169">
        <v>1.8109733999999999E-2</v>
      </c>
      <c r="G28" s="169">
        <v>0</v>
      </c>
      <c r="H28" s="180">
        <v>1.0105894000000001E-2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35554496.705196001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32721838.323442001</v>
      </c>
      <c r="C32" s="60"/>
      <c r="D32" s="236"/>
      <c r="E32" s="60"/>
      <c r="F32" s="60"/>
      <c r="G32" s="60"/>
      <c r="H32" s="88"/>
      <c r="J32" s="249">
        <f>D40</f>
        <v>32721838.323442001</v>
      </c>
      <c r="K32" s="257" t="s">
        <v>61</v>
      </c>
    </row>
    <row r="33" spans="1:11" ht="24" customHeight="1" x14ac:dyDescent="0.2">
      <c r="A33" s="148" t="s">
        <v>49</v>
      </c>
      <c r="B33" s="200">
        <v>461454.951061</v>
      </c>
      <c r="C33" s="61"/>
      <c r="D33" s="236"/>
      <c r="E33" s="60"/>
      <c r="F33" s="60"/>
      <c r="G33" s="60"/>
      <c r="H33" s="88"/>
      <c r="J33" s="249">
        <f>D46</f>
        <v>2832658.3817540002</v>
      </c>
      <c r="K33" s="257" t="s">
        <v>60</v>
      </c>
    </row>
    <row r="34" spans="1:11" ht="18" customHeight="1" x14ac:dyDescent="0.2">
      <c r="A34" s="149" t="s">
        <v>24</v>
      </c>
      <c r="B34" s="200">
        <v>2000453.12396</v>
      </c>
      <c r="C34" s="61"/>
      <c r="D34" s="236"/>
      <c r="E34" s="60"/>
      <c r="F34" s="60"/>
      <c r="G34" s="60"/>
      <c r="H34" s="88"/>
      <c r="J34" s="249">
        <v>0</v>
      </c>
      <c r="K34" s="257" t="s">
        <v>62</v>
      </c>
    </row>
    <row r="35" spans="1:11" ht="18" customHeight="1" x14ac:dyDescent="0.2">
      <c r="A35" s="150" t="s">
        <v>20</v>
      </c>
      <c r="B35" s="200">
        <v>170697.63099999999</v>
      </c>
      <c r="C35" s="61"/>
      <c r="D35" s="236"/>
      <c r="E35" s="60"/>
      <c r="F35" s="60"/>
      <c r="G35" s="60"/>
      <c r="H35" s="88"/>
      <c r="J35" s="250">
        <f>B31-J32-J33-J34</f>
        <v>-4.6566128730773926E-10</v>
      </c>
    </row>
    <row r="36" spans="1:11" ht="18" customHeight="1" x14ac:dyDescent="0.2">
      <c r="A36" s="150" t="s">
        <v>22</v>
      </c>
      <c r="B36" s="200">
        <v>104052.600616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96000.075117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32721838.323442023</v>
      </c>
      <c r="C40" s="249">
        <f>B32-B40-J34</f>
        <v>-2.2351741790771484E-8</v>
      </c>
      <c r="D40" s="259">
        <f>26209600+6512238.323442</f>
        <v>32721838.323442001</v>
      </c>
      <c r="E40" s="249">
        <f>B40-D40</f>
        <v>0</v>
      </c>
    </row>
    <row r="41" spans="1:11" hidden="1" x14ac:dyDescent="0.2">
      <c r="A41" s="255" t="s">
        <v>49</v>
      </c>
      <c r="B41" s="249">
        <v>461454.951061</v>
      </c>
      <c r="C41" s="249">
        <f>B33-B41</f>
        <v>0</v>
      </c>
      <c r="D41" s="259">
        <f>404400+57054.951061</f>
        <v>461454.951061</v>
      </c>
      <c r="E41" s="249">
        <f>B41-D41</f>
        <v>0</v>
      </c>
    </row>
    <row r="42" spans="1:11" hidden="1" x14ac:dyDescent="0.2">
      <c r="A42" s="255" t="s">
        <v>24</v>
      </c>
      <c r="B42" s="249">
        <v>2000453.1239600002</v>
      </c>
      <c r="C42" s="249">
        <f t="shared" ref="C42:C45" si="8">B34-B42</f>
        <v>0</v>
      </c>
      <c r="D42" s="266">
        <f>1533600+466853.12396</f>
        <v>2000453.12396</v>
      </c>
      <c r="E42" s="249">
        <f>B42-D42</f>
        <v>0</v>
      </c>
    </row>
    <row r="43" spans="1:11" hidden="1" x14ac:dyDescent="0.2">
      <c r="A43" s="255" t="s">
        <v>20</v>
      </c>
      <c r="B43" s="249">
        <v>170697.63099999999</v>
      </c>
      <c r="C43" s="249">
        <f t="shared" si="8"/>
        <v>0</v>
      </c>
      <c r="D43" s="259">
        <v>170697.63099999999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104052.60061600001</v>
      </c>
      <c r="C44" s="249">
        <f t="shared" si="8"/>
        <v>0</v>
      </c>
      <c r="D44" s="259">
        <v>104052.600616</v>
      </c>
      <c r="E44" s="249">
        <f>B44-D44</f>
        <v>0</v>
      </c>
    </row>
    <row r="45" spans="1:11" hidden="1" x14ac:dyDescent="0.2">
      <c r="A45" s="255" t="s">
        <v>42</v>
      </c>
      <c r="B45" s="249">
        <v>96000.075117</v>
      </c>
      <c r="C45" s="249">
        <f t="shared" si="8"/>
        <v>0</v>
      </c>
      <c r="D45" s="259">
        <v>96000.075117</v>
      </c>
      <c r="E45" s="249">
        <f t="shared" si="9"/>
        <v>0</v>
      </c>
    </row>
    <row r="46" spans="1:11" hidden="1" x14ac:dyDescent="0.2">
      <c r="B46" s="249">
        <f>SUM(B41:B45)</f>
        <v>2832658.3817540002</v>
      </c>
      <c r="C46" s="249">
        <f>SUM(C40:C45)</f>
        <v>-2.2351741790771484E-8</v>
      </c>
      <c r="D46" s="259">
        <f>SUM(D41:D45)</f>
        <v>2832658.3817540002</v>
      </c>
      <c r="E46" s="249">
        <f t="shared" ref="E46" si="10">SUM(E41:E45)</f>
        <v>0</v>
      </c>
    </row>
    <row r="47" spans="1:11" hidden="1" x14ac:dyDescent="0.2">
      <c r="B47" s="267">
        <f>B46+B40+J34-B32</f>
        <v>2832658.3817540221</v>
      </c>
      <c r="C47" s="249"/>
      <c r="D47" s="259">
        <f>D46+D40</f>
        <v>35554496.705196001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7936-88F6-4673-BE70-119FE80B6738}">
  <sheetPr>
    <tabColor rgb="FFCCFFFF"/>
    <pageSetUpPr fitToPage="1"/>
  </sheetPr>
  <dimension ref="A1:R52"/>
  <sheetViews>
    <sheetView zoomScale="87" zoomScaleNormal="87" workbookViewId="0">
      <selection activeCell="G17" sqref="G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hidden="1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44958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6889925.2206699979</v>
      </c>
      <c r="C6" s="135">
        <f>SUM(C7:C10)</f>
        <v>20199</v>
      </c>
      <c r="D6" s="135">
        <f t="shared" ref="D6:H6" si="0">SUM(D7:D10)</f>
        <v>69390.176149999999</v>
      </c>
      <c r="E6" s="135">
        <f t="shared" si="0"/>
        <v>430587.14</v>
      </c>
      <c r="F6" s="135">
        <f t="shared" si="0"/>
        <v>2479698.0045199995</v>
      </c>
      <c r="G6" s="135">
        <f t="shared" si="0"/>
        <v>0</v>
      </c>
      <c r="H6" s="137">
        <f t="shared" si="0"/>
        <v>3890050.899999999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6758227.2206699979</v>
      </c>
      <c r="C7" s="152">
        <v>0</v>
      </c>
      <c r="D7" s="152">
        <v>69390.176149999999</v>
      </c>
      <c r="E7" s="152">
        <v>430587.14</v>
      </c>
      <c r="F7" s="152">
        <v>2472782.0045199995</v>
      </c>
      <c r="G7" s="152">
        <v>0</v>
      </c>
      <c r="H7" s="196">
        <v>3785467.899999999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107426</v>
      </c>
      <c r="C8" s="152">
        <v>0</v>
      </c>
      <c r="D8" s="152">
        <v>0</v>
      </c>
      <c r="E8" s="152">
        <v>0</v>
      </c>
      <c r="F8" s="152">
        <v>6916</v>
      </c>
      <c r="G8" s="152">
        <v>0</v>
      </c>
      <c r="H8" s="196">
        <v>100510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4073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4073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20199</v>
      </c>
      <c r="C10" s="152">
        <v>20199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10710.000000000015</v>
      </c>
      <c r="N10" s="75">
        <v>3160</v>
      </c>
      <c r="O10" s="75"/>
      <c r="P10" s="75"/>
      <c r="Q10" s="76">
        <f>SUM(K10:P10)</f>
        <v>13870.000000000015</v>
      </c>
    </row>
    <row r="11" spans="1:18" ht="18" customHeight="1" x14ac:dyDescent="0.2">
      <c r="A11" s="176" t="s">
        <v>9</v>
      </c>
      <c r="B11" s="165">
        <f t="shared" si="1"/>
        <v>39995640.031899996</v>
      </c>
      <c r="C11" s="135">
        <f>SUM(C12:C15)</f>
        <v>235561.09999999998</v>
      </c>
      <c r="D11" s="135">
        <f t="shared" ref="D11:H11" si="2">SUM(D12:D15)</f>
        <v>658030.00000000012</v>
      </c>
      <c r="E11" s="135">
        <f t="shared" si="2"/>
        <v>132037</v>
      </c>
      <c r="F11" s="135">
        <f t="shared" si="2"/>
        <v>2689382.3703999999</v>
      </c>
      <c r="G11" s="135">
        <f t="shared" si="2"/>
        <v>9360</v>
      </c>
      <c r="H11" s="137">
        <f t="shared" si="2"/>
        <v>36271269.561499998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10710.000000000015</v>
      </c>
      <c r="N11" s="77">
        <f t="shared" si="3"/>
        <v>3160</v>
      </c>
      <c r="O11" s="77">
        <f t="shared" si="3"/>
        <v>0</v>
      </c>
      <c r="P11" s="77">
        <f t="shared" si="3"/>
        <v>0</v>
      </c>
      <c r="Q11" s="77">
        <f>SUM(K11:P11)</f>
        <v>13870.000000000015</v>
      </c>
    </row>
    <row r="12" spans="1:18" ht="18" customHeight="1" x14ac:dyDescent="0.25">
      <c r="A12" s="173" t="s">
        <v>46</v>
      </c>
      <c r="B12" s="166">
        <f t="shared" si="1"/>
        <v>38234696.413499996</v>
      </c>
      <c r="C12" s="152">
        <v>0</v>
      </c>
      <c r="D12" s="152">
        <v>658030.00000000012</v>
      </c>
      <c r="E12" s="152">
        <v>132037</v>
      </c>
      <c r="F12" s="152">
        <v>2661591.852</v>
      </c>
      <c r="G12" s="152">
        <v>9360</v>
      </c>
      <c r="H12" s="196">
        <v>34773677.561499998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1430166.5183999999</v>
      </c>
      <c r="C13" s="152">
        <v>0</v>
      </c>
      <c r="D13" s="152">
        <v>0</v>
      </c>
      <c r="E13" s="152">
        <v>0</v>
      </c>
      <c r="F13" s="152">
        <v>27790.518400000001</v>
      </c>
      <c r="G13" s="152">
        <v>0</v>
      </c>
      <c r="H13" s="196">
        <v>1402376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10710.000000000015</v>
      </c>
      <c r="N13" s="81">
        <f t="shared" si="4"/>
        <v>3160</v>
      </c>
      <c r="O13" s="81">
        <f t="shared" si="4"/>
        <v>0</v>
      </c>
      <c r="P13" s="81">
        <f t="shared" si="4"/>
        <v>0</v>
      </c>
      <c r="Q13" s="82">
        <f>SUM(K13:P13)</f>
        <v>13870.000000000015</v>
      </c>
      <c r="R13" s="105"/>
    </row>
    <row r="14" spans="1:18" ht="24" customHeight="1" x14ac:dyDescent="0.2">
      <c r="A14" s="177" t="s">
        <v>48</v>
      </c>
      <c r="B14" s="166">
        <f t="shared" si="1"/>
        <v>95216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95216</v>
      </c>
      <c r="Q14" s="32"/>
    </row>
    <row r="15" spans="1:18" ht="18" customHeight="1" x14ac:dyDescent="0.2">
      <c r="A15" s="173" t="s">
        <v>45</v>
      </c>
      <c r="B15" s="166">
        <f t="shared" si="1"/>
        <v>235561.09999999998</v>
      </c>
      <c r="C15" s="152">
        <v>235561.09999999998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53707026.097635008</v>
      </c>
      <c r="C16" s="135">
        <f>SUM(C17:C20)</f>
        <v>3544439.0466609998</v>
      </c>
      <c r="D16" s="135">
        <f t="shared" ref="D16:H16" si="5">SUM(D17:D20)</f>
        <v>12522415.343459999</v>
      </c>
      <c r="E16" s="135">
        <f t="shared" si="5"/>
        <v>1658337.0511389999</v>
      </c>
      <c r="F16" s="135">
        <f t="shared" si="5"/>
        <v>24562384.762484014</v>
      </c>
      <c r="G16" s="135">
        <f t="shared" si="5"/>
        <v>287377.97518499999</v>
      </c>
      <c r="H16" s="137">
        <f t="shared" si="5"/>
        <v>11132071.918706002</v>
      </c>
    </row>
    <row r="17" spans="1:14" ht="18" customHeight="1" x14ac:dyDescent="0.2">
      <c r="A17" s="173" t="s">
        <v>46</v>
      </c>
      <c r="B17" s="166">
        <f t="shared" si="1"/>
        <v>49193393.982597016</v>
      </c>
      <c r="C17" s="152">
        <v>0</v>
      </c>
      <c r="D17" s="152">
        <v>12522415.343459999</v>
      </c>
      <c r="E17" s="152">
        <v>1651496.5787549999</v>
      </c>
      <c r="F17" s="152">
        <v>24143556.146215014</v>
      </c>
      <c r="G17" s="152">
        <v>287377.97518499999</v>
      </c>
      <c r="H17" s="196">
        <f>10602417.938982-13870</f>
        <v>10588547.938982001</v>
      </c>
      <c r="I17" s="11"/>
    </row>
    <row r="18" spans="1:14" ht="24" customHeight="1" x14ac:dyDescent="0.2">
      <c r="A18" s="177" t="s">
        <v>47</v>
      </c>
      <c r="B18" s="166">
        <f t="shared" si="1"/>
        <v>873205.38837700011</v>
      </c>
      <c r="C18" s="152">
        <v>0</v>
      </c>
      <c r="D18" s="152">
        <v>0</v>
      </c>
      <c r="E18" s="152">
        <v>6840.4723839999997</v>
      </c>
      <c r="F18" s="152">
        <v>347453.816269</v>
      </c>
      <c r="G18" s="152">
        <v>0</v>
      </c>
      <c r="H18" s="196">
        <v>518911.09972400009</v>
      </c>
      <c r="J18" s="212"/>
    </row>
    <row r="19" spans="1:14" ht="24" customHeight="1" x14ac:dyDescent="0.2">
      <c r="A19" s="177" t="s">
        <v>48</v>
      </c>
      <c r="B19" s="166">
        <f t="shared" si="1"/>
        <v>95987.680000000008</v>
      </c>
      <c r="C19" s="152">
        <v>0</v>
      </c>
      <c r="D19" s="152">
        <v>0</v>
      </c>
      <c r="E19" s="152">
        <v>0</v>
      </c>
      <c r="F19" s="152">
        <v>71374.8</v>
      </c>
      <c r="G19" s="152">
        <v>0</v>
      </c>
      <c r="H19" s="196">
        <v>24612.880000000005</v>
      </c>
      <c r="J19" s="212"/>
    </row>
    <row r="20" spans="1:14" ht="18" customHeight="1" x14ac:dyDescent="0.2">
      <c r="A20" s="173" t="s">
        <v>45</v>
      </c>
      <c r="B20" s="166">
        <f t="shared" si="1"/>
        <v>3544439.0466609998</v>
      </c>
      <c r="C20" s="152">
        <v>3544439.0466609998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100592591.350205</v>
      </c>
      <c r="C21" s="135">
        <f>C6+C11+C16</f>
        <v>3800199.1466609999</v>
      </c>
      <c r="D21" s="135">
        <f t="shared" ref="D21:H21" si="6">D6+D11+D16</f>
        <v>13249835.519609999</v>
      </c>
      <c r="E21" s="135">
        <f t="shared" si="6"/>
        <v>2220961.191139</v>
      </c>
      <c r="F21" s="135">
        <f t="shared" si="6"/>
        <v>29731465.137404013</v>
      </c>
      <c r="G21" s="135">
        <f t="shared" si="6"/>
        <v>296737.97518499999</v>
      </c>
      <c r="H21" s="137">
        <f t="shared" si="6"/>
        <v>51293392.380205996</v>
      </c>
      <c r="J21" s="249">
        <v>100606461.35020497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2.9816874302923679E-8</v>
      </c>
      <c r="K22" s="255"/>
    </row>
    <row r="23" spans="1:14" ht="18" customHeight="1" thickBot="1" x14ac:dyDescent="0.25">
      <c r="A23" s="185" t="s">
        <v>14</v>
      </c>
      <c r="B23" s="214">
        <v>8701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10.458314379000001</v>
      </c>
      <c r="C25" s="144">
        <f>SUM(C26:C29)</f>
        <v>3.7012345240000002</v>
      </c>
      <c r="D25" s="144">
        <f t="shared" ref="D25:H25" si="7">SUM(D26:D29)</f>
        <v>0.44897119900000099</v>
      </c>
      <c r="E25" s="144">
        <f t="shared" si="7"/>
        <v>3.2519850000000002E-3</v>
      </c>
      <c r="F25" s="144">
        <f t="shared" si="7"/>
        <v>5.8349807599999997</v>
      </c>
      <c r="G25" s="144">
        <f t="shared" si="7"/>
        <v>0.22187968799999999</v>
      </c>
      <c r="H25" s="145">
        <f t="shared" si="7"/>
        <v>0.24799622300000002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3.7012345240000002</v>
      </c>
      <c r="C26" s="169">
        <v>3.7012345240000002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3.7012345240000002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6.7313017410000002</v>
      </c>
      <c r="C27" s="169">
        <v>0</v>
      </c>
      <c r="D27" s="169">
        <v>0.44897119900000099</v>
      </c>
      <c r="E27" s="169">
        <v>3.2519850000000002E-3</v>
      </c>
      <c r="F27" s="169">
        <v>5.8199299189999998</v>
      </c>
      <c r="G27" s="169">
        <v>0.22187968799999999</v>
      </c>
      <c r="H27" s="180">
        <v>0.23726895000000001</v>
      </c>
      <c r="J27" s="251">
        <v>6.7570798549999997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2.5778114000000001E-2</v>
      </c>
      <c r="C28" s="169">
        <v>0</v>
      </c>
      <c r="D28" s="169">
        <v>0</v>
      </c>
      <c r="E28" s="169">
        <v>0</v>
      </c>
      <c r="F28" s="169">
        <v>1.5050841000000001E-2</v>
      </c>
      <c r="G28" s="169">
        <v>0</v>
      </c>
      <c r="H28" s="180">
        <v>1.0727273000000001E-2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25794618.997087002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23348040.992862001</v>
      </c>
      <c r="C32" s="60"/>
      <c r="D32" s="236"/>
      <c r="E32" s="60"/>
      <c r="F32" s="60"/>
      <c r="G32" s="60"/>
      <c r="H32" s="88"/>
      <c r="J32" s="249">
        <f>D40</f>
        <v>23293761.492862001</v>
      </c>
      <c r="K32" s="257" t="s">
        <v>61</v>
      </c>
    </row>
    <row r="33" spans="1:11" ht="24" customHeight="1" x14ac:dyDescent="0.2">
      <c r="A33" s="148" t="s">
        <v>49</v>
      </c>
      <c r="B33" s="200">
        <v>395934.64419600001</v>
      </c>
      <c r="C33" s="61"/>
      <c r="D33" s="236"/>
      <c r="E33" s="60"/>
      <c r="F33" s="60"/>
      <c r="G33" s="60"/>
      <c r="H33" s="88"/>
      <c r="J33" s="249">
        <f>D46</f>
        <v>2446578.0042249998</v>
      </c>
      <c r="K33" s="257" t="s">
        <v>60</v>
      </c>
    </row>
    <row r="34" spans="1:11" ht="18" customHeight="1" x14ac:dyDescent="0.2">
      <c r="A34" s="149" t="s">
        <v>24</v>
      </c>
      <c r="B34" s="200">
        <v>1747718.3555999999</v>
      </c>
      <c r="C34" s="61"/>
      <c r="D34" s="236"/>
      <c r="E34" s="60"/>
      <c r="F34" s="60"/>
      <c r="G34" s="60"/>
      <c r="H34" s="88"/>
      <c r="J34" s="249">
        <v>54279.5</v>
      </c>
      <c r="K34" s="257" t="s">
        <v>62</v>
      </c>
    </row>
    <row r="35" spans="1:11" ht="18" customHeight="1" x14ac:dyDescent="0.2">
      <c r="A35" s="150" t="s">
        <v>20</v>
      </c>
      <c r="B35" s="200">
        <v>206002.52720000001</v>
      </c>
      <c r="C35" s="61"/>
      <c r="D35" s="236"/>
      <c r="E35" s="60"/>
      <c r="F35" s="60"/>
      <c r="G35" s="60"/>
      <c r="H35" s="88"/>
      <c r="J35" s="267">
        <f>B31-J32-J33-J34</f>
        <v>9.3132257461547852E-10</v>
      </c>
    </row>
    <row r="36" spans="1:11" ht="18" customHeight="1" x14ac:dyDescent="0.2">
      <c r="A36" s="150" t="s">
        <v>22</v>
      </c>
      <c r="B36" s="200">
        <v>341.93385000000001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96580.543378999995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23293761.492862001</v>
      </c>
      <c r="C40" s="249">
        <f>B32-B40-J34</f>
        <v>0</v>
      </c>
      <c r="D40" s="259">
        <v>23293761.492862001</v>
      </c>
      <c r="E40" s="249">
        <f>B40-D40</f>
        <v>0</v>
      </c>
    </row>
    <row r="41" spans="1:11" hidden="1" x14ac:dyDescent="0.2">
      <c r="A41" s="255" t="s">
        <v>49</v>
      </c>
      <c r="B41" s="249">
        <v>395934.64419600001</v>
      </c>
      <c r="C41" s="249">
        <f>B33-B41</f>
        <v>0</v>
      </c>
      <c r="D41" s="259">
        <v>395934.64419600001</v>
      </c>
      <c r="E41" s="249">
        <f>B41-D41</f>
        <v>0</v>
      </c>
    </row>
    <row r="42" spans="1:11" hidden="1" x14ac:dyDescent="0.2">
      <c r="A42" s="255" t="s">
        <v>24</v>
      </c>
      <c r="B42" s="249">
        <v>1747718.3556000008</v>
      </c>
      <c r="C42" s="249">
        <f t="shared" ref="C42:C45" si="8">B34-B42</f>
        <v>0</v>
      </c>
      <c r="D42" s="266">
        <v>1747718.3555999999</v>
      </c>
      <c r="E42" s="249">
        <f>B42-D42</f>
        <v>0</v>
      </c>
    </row>
    <row r="43" spans="1:11" hidden="1" x14ac:dyDescent="0.2">
      <c r="A43" s="255" t="s">
        <v>20</v>
      </c>
      <c r="B43" s="249">
        <v>206002.52720000001</v>
      </c>
      <c r="C43" s="249">
        <f t="shared" si="8"/>
        <v>0</v>
      </c>
      <c r="D43" s="259">
        <v>206002.52720000001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341.93385000003764</v>
      </c>
      <c r="C44" s="249">
        <f t="shared" si="8"/>
        <v>-3.7630343285854906E-11</v>
      </c>
      <c r="D44" s="259">
        <v>341.93385000000001</v>
      </c>
      <c r="E44" s="249">
        <f>B44-D44</f>
        <v>3.7630343285854906E-11</v>
      </c>
    </row>
    <row r="45" spans="1:11" hidden="1" x14ac:dyDescent="0.2">
      <c r="A45" s="255" t="s">
        <v>42</v>
      </c>
      <c r="B45" s="249">
        <v>96580.543378999995</v>
      </c>
      <c r="C45" s="249">
        <f t="shared" si="8"/>
        <v>0</v>
      </c>
      <c r="D45" s="259">
        <v>96580.543378999995</v>
      </c>
      <c r="E45" s="249">
        <f t="shared" si="9"/>
        <v>0</v>
      </c>
    </row>
    <row r="46" spans="1:11" hidden="1" x14ac:dyDescent="0.2">
      <c r="B46" s="249">
        <f>SUM(B41:B45)</f>
        <v>2446578.0042250007</v>
      </c>
      <c r="C46" s="249">
        <f>SUM(C40:C45)</f>
        <v>-3.7630343285854906E-11</v>
      </c>
      <c r="D46" s="259">
        <f>SUM(D41:D45)</f>
        <v>2446578.0042249998</v>
      </c>
      <c r="E46" s="249">
        <f>SUM(E40:E45)</f>
        <v>3.7630343285854906E-11</v>
      </c>
    </row>
    <row r="47" spans="1:11" hidden="1" x14ac:dyDescent="0.2">
      <c r="B47" s="267">
        <f>B46+B40+J34-B32</f>
        <v>2446578.0042250007</v>
      </c>
      <c r="C47" s="249"/>
      <c r="D47" s="259">
        <f>D46+D40</f>
        <v>25740339.497087002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29D5C-4B88-4B80-AFB5-2024C6EAFEC8}">
  <sheetPr>
    <tabColor rgb="FFCCFFFF"/>
    <pageSetUpPr fitToPage="1"/>
  </sheetPr>
  <dimension ref="A1:R49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44986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6554375.1486150008</v>
      </c>
      <c r="C6" s="135">
        <f>SUM(C7:C10)</f>
        <v>17599</v>
      </c>
      <c r="D6" s="135">
        <f t="shared" ref="D6:H6" si="0">SUM(D7:D10)</f>
        <v>74963.915414999996</v>
      </c>
      <c r="E6" s="135">
        <f t="shared" si="0"/>
        <v>466694.95999999996</v>
      </c>
      <c r="F6" s="135">
        <f t="shared" si="0"/>
        <v>2312711.3789999997</v>
      </c>
      <c r="G6" s="135">
        <f t="shared" si="0"/>
        <v>0</v>
      </c>
      <c r="H6" s="137">
        <f t="shared" si="0"/>
        <v>3682405.8942000009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6437465.1486150008</v>
      </c>
      <c r="C7" s="152">
        <v>0</v>
      </c>
      <c r="D7" s="152">
        <v>74963.915414999996</v>
      </c>
      <c r="E7" s="152">
        <v>466694.95999999996</v>
      </c>
      <c r="F7" s="152">
        <v>2304457.3789999997</v>
      </c>
      <c r="G7" s="152">
        <v>0</v>
      </c>
      <c r="H7" s="196">
        <v>3591348.8942000009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95548</v>
      </c>
      <c r="C8" s="152">
        <v>0</v>
      </c>
      <c r="D8" s="152">
        <v>0</v>
      </c>
      <c r="E8" s="152">
        <v>0</v>
      </c>
      <c r="F8" s="152">
        <v>8254</v>
      </c>
      <c r="G8" s="152">
        <v>0</v>
      </c>
      <c r="H8" s="196">
        <v>87294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3763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3763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17599</v>
      </c>
      <c r="C10" s="152">
        <v>17599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10601.999999999975</v>
      </c>
      <c r="N10" s="75">
        <v>3324</v>
      </c>
      <c r="O10" s="75"/>
      <c r="P10" s="75"/>
      <c r="Q10" s="76">
        <f>SUM(K10:P10)</f>
        <v>13925.999999999975</v>
      </c>
    </row>
    <row r="11" spans="1:18" ht="18" customHeight="1" x14ac:dyDescent="0.2">
      <c r="A11" s="176" t="s">
        <v>9</v>
      </c>
      <c r="B11" s="165">
        <f t="shared" si="1"/>
        <v>38753296.023900002</v>
      </c>
      <c r="C11" s="135">
        <f>SUM(C12:C15)</f>
        <v>236151.6</v>
      </c>
      <c r="D11" s="135">
        <f t="shared" ref="D11:H11" si="2">SUM(D12:D15)</f>
        <v>612077</v>
      </c>
      <c r="E11" s="135">
        <f t="shared" si="2"/>
        <v>117862</v>
      </c>
      <c r="F11" s="135">
        <f t="shared" si="2"/>
        <v>2611362.3849999998</v>
      </c>
      <c r="G11" s="135">
        <f t="shared" si="2"/>
        <v>9200</v>
      </c>
      <c r="H11" s="137">
        <f t="shared" si="2"/>
        <v>35166643.038900003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10601.999999999975</v>
      </c>
      <c r="N11" s="77">
        <f t="shared" si="3"/>
        <v>3324</v>
      </c>
      <c r="O11" s="77">
        <f t="shared" si="3"/>
        <v>0</v>
      </c>
      <c r="P11" s="77">
        <f t="shared" si="3"/>
        <v>0</v>
      </c>
      <c r="Q11" s="77">
        <f>SUM(K11:P11)</f>
        <v>13925.999999999975</v>
      </c>
    </row>
    <row r="12" spans="1:18" ht="18" customHeight="1" x14ac:dyDescent="0.25">
      <c r="A12" s="173" t="s">
        <v>46</v>
      </c>
      <c r="B12" s="166">
        <f t="shared" si="1"/>
        <v>36954143.423900001</v>
      </c>
      <c r="C12" s="152">
        <v>0</v>
      </c>
      <c r="D12" s="152">
        <v>612077</v>
      </c>
      <c r="E12" s="152">
        <v>117862</v>
      </c>
      <c r="F12" s="152">
        <v>2586797.3849999998</v>
      </c>
      <c r="G12" s="152">
        <v>9200</v>
      </c>
      <c r="H12" s="196">
        <v>33628207.038900003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1464740</v>
      </c>
      <c r="C13" s="152">
        <v>0</v>
      </c>
      <c r="D13" s="152">
        <v>0</v>
      </c>
      <c r="E13" s="152">
        <v>0</v>
      </c>
      <c r="F13" s="152">
        <v>24565</v>
      </c>
      <c r="G13" s="152">
        <v>0</v>
      </c>
      <c r="H13" s="196">
        <v>1440175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10601.999999999975</v>
      </c>
      <c r="N13" s="81">
        <f t="shared" si="4"/>
        <v>3324</v>
      </c>
      <c r="O13" s="81">
        <f t="shared" si="4"/>
        <v>0</v>
      </c>
      <c r="P13" s="81">
        <f t="shared" si="4"/>
        <v>0</v>
      </c>
      <c r="Q13" s="82">
        <f>SUM(K13:P13)</f>
        <v>13925.999999999975</v>
      </c>
      <c r="R13" s="105"/>
    </row>
    <row r="14" spans="1:18" ht="24" customHeight="1" x14ac:dyDescent="0.2">
      <c r="A14" s="177" t="s">
        <v>48</v>
      </c>
      <c r="B14" s="166">
        <f t="shared" si="1"/>
        <v>98261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98261</v>
      </c>
      <c r="Q14" s="32"/>
    </row>
    <row r="15" spans="1:18" ht="18" customHeight="1" x14ac:dyDescent="0.2">
      <c r="A15" s="173" t="s">
        <v>45</v>
      </c>
      <c r="B15" s="166">
        <f t="shared" si="1"/>
        <v>236151.6</v>
      </c>
      <c r="C15" s="152">
        <v>236151.6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52232707.239202008</v>
      </c>
      <c r="C16" s="135">
        <f>SUM(C17:C20)</f>
        <v>3574440.1717290008</v>
      </c>
      <c r="D16" s="135">
        <f t="shared" ref="D16:H16" si="5">SUM(D17:D20)</f>
        <v>12201667.131827991</v>
      </c>
      <c r="E16" s="135">
        <f t="shared" si="5"/>
        <v>1704562.4814720005</v>
      </c>
      <c r="F16" s="135">
        <f t="shared" si="5"/>
        <v>24322687.810253017</v>
      </c>
      <c r="G16" s="135">
        <f t="shared" si="5"/>
        <v>234709.52785100002</v>
      </c>
      <c r="H16" s="137">
        <f t="shared" si="5"/>
        <v>10194640.116069</v>
      </c>
    </row>
    <row r="17" spans="1:14" ht="18" customHeight="1" x14ac:dyDescent="0.2">
      <c r="A17" s="173" t="s">
        <v>46</v>
      </c>
      <c r="B17" s="166">
        <f t="shared" si="1"/>
        <v>47807723.095659018</v>
      </c>
      <c r="C17" s="152">
        <v>0</v>
      </c>
      <c r="D17" s="152">
        <v>12201667.131827991</v>
      </c>
      <c r="E17" s="152">
        <v>1700668.7151330004</v>
      </c>
      <c r="F17" s="152">
        <v>23967898.164972018</v>
      </c>
      <c r="G17" s="152">
        <v>234709.52785100002</v>
      </c>
      <c r="H17" s="196">
        <f>9716705.555875-13926</f>
        <v>9702779.5558749996</v>
      </c>
      <c r="I17" s="11"/>
    </row>
    <row r="18" spans="1:14" ht="24" customHeight="1" x14ac:dyDescent="0.2">
      <c r="A18" s="177" t="s">
        <v>47</v>
      </c>
      <c r="B18" s="166">
        <f t="shared" si="1"/>
        <v>763061.0118140002</v>
      </c>
      <c r="C18" s="152">
        <v>0</v>
      </c>
      <c r="D18" s="152">
        <v>0</v>
      </c>
      <c r="E18" s="152">
        <v>3893.7663390000002</v>
      </c>
      <c r="F18" s="152">
        <v>293569.44528100005</v>
      </c>
      <c r="G18" s="152">
        <v>0</v>
      </c>
      <c r="H18" s="196">
        <v>465597.80019400013</v>
      </c>
      <c r="J18" s="212"/>
    </row>
    <row r="19" spans="1:14" ht="24" customHeight="1" x14ac:dyDescent="0.2">
      <c r="A19" s="177" t="s">
        <v>48</v>
      </c>
      <c r="B19" s="166">
        <f t="shared" si="1"/>
        <v>87482.96</v>
      </c>
      <c r="C19" s="152">
        <v>0</v>
      </c>
      <c r="D19" s="152">
        <v>0</v>
      </c>
      <c r="E19" s="152">
        <v>0</v>
      </c>
      <c r="F19" s="152">
        <v>61220.2</v>
      </c>
      <c r="G19" s="152">
        <v>0</v>
      </c>
      <c r="H19" s="196">
        <v>26262.760000000009</v>
      </c>
      <c r="J19" s="212"/>
    </row>
    <row r="20" spans="1:14" ht="18" customHeight="1" x14ac:dyDescent="0.2">
      <c r="A20" s="173" t="s">
        <v>45</v>
      </c>
      <c r="B20" s="166">
        <f t="shared" si="1"/>
        <v>3574440.1717290008</v>
      </c>
      <c r="C20" s="152">
        <v>3574440.1717290008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97540378.411717013</v>
      </c>
      <c r="C21" s="135">
        <f>C6+C11+C16</f>
        <v>3828190.7717290008</v>
      </c>
      <c r="D21" s="135">
        <f t="shared" ref="D21:H21" si="6">D6+D11+D16</f>
        <v>12888708.047242992</v>
      </c>
      <c r="E21" s="135">
        <f t="shared" si="6"/>
        <v>2289119.4414720004</v>
      </c>
      <c r="F21" s="135">
        <f t="shared" si="6"/>
        <v>29246761.574253015</v>
      </c>
      <c r="G21" s="135">
        <f t="shared" si="6"/>
        <v>243909.52785100002</v>
      </c>
      <c r="H21" s="137">
        <f t="shared" si="6"/>
        <v>49043689.049169004</v>
      </c>
      <c r="J21" s="249">
        <v>97554304.411716968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4.4678017729893327E-8</v>
      </c>
      <c r="K22" s="255"/>
    </row>
    <row r="23" spans="1:14" ht="18" customHeight="1" thickBot="1" x14ac:dyDescent="0.25">
      <c r="A23" s="185" t="s">
        <v>14</v>
      </c>
      <c r="B23" s="214">
        <v>5062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9.8165984579999979</v>
      </c>
      <c r="C25" s="144">
        <f>SUM(C26:C29)</f>
        <v>3.4977574200000001</v>
      </c>
      <c r="D25" s="144">
        <f t="shared" ref="D25:H25" si="7">SUM(D26:D29)</f>
        <v>0.43506089799999897</v>
      </c>
      <c r="E25" s="144">
        <f t="shared" si="7"/>
        <v>2.8534760000000002E-3</v>
      </c>
      <c r="F25" s="144">
        <f t="shared" si="7"/>
        <v>5.376982892</v>
      </c>
      <c r="G25" s="144">
        <f t="shared" si="7"/>
        <v>0.254897551</v>
      </c>
      <c r="H25" s="145">
        <f t="shared" si="7"/>
        <v>0.24904622100000001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3.4977574200000001</v>
      </c>
      <c r="C26" s="169">
        <v>3.4977574200000001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3.4977574200000001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6.2952711919999995</v>
      </c>
      <c r="C27" s="169">
        <v>0</v>
      </c>
      <c r="D27" s="169">
        <v>0.43506089799999897</v>
      </c>
      <c r="E27" s="169">
        <v>2.8534760000000002E-3</v>
      </c>
      <c r="F27" s="169">
        <v>5.3641527570000003</v>
      </c>
      <c r="G27" s="169">
        <v>0.254897551</v>
      </c>
      <c r="H27" s="180">
        <v>0.23830651</v>
      </c>
      <c r="J27" s="251">
        <v>6.3188410380000004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2.3569845999999998E-2</v>
      </c>
      <c r="C28" s="169">
        <v>0</v>
      </c>
      <c r="D28" s="169">
        <v>0</v>
      </c>
      <c r="E28" s="169">
        <v>0</v>
      </c>
      <c r="F28" s="169">
        <v>1.2830134999999999E-2</v>
      </c>
      <c r="G28" s="169">
        <v>0</v>
      </c>
      <c r="H28" s="180">
        <v>1.0739711000000001E-2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28437381.519710999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25908767.996755999</v>
      </c>
      <c r="C32" s="60"/>
      <c r="D32" s="236"/>
      <c r="E32" s="60"/>
      <c r="F32" s="60"/>
      <c r="G32" s="60"/>
      <c r="H32" s="88"/>
      <c r="J32" s="249">
        <f>D40</f>
        <v>25846027.296755999</v>
      </c>
      <c r="K32" s="257" t="s">
        <v>61</v>
      </c>
    </row>
    <row r="33" spans="1:11" ht="24" customHeight="1" x14ac:dyDescent="0.2">
      <c r="A33" s="148" t="s">
        <v>49</v>
      </c>
      <c r="B33" s="200">
        <v>378789.35746999999</v>
      </c>
      <c r="C33" s="61"/>
      <c r="D33" s="236"/>
      <c r="E33" s="60"/>
      <c r="F33" s="60"/>
      <c r="G33" s="60"/>
      <c r="H33" s="88"/>
      <c r="J33" s="249">
        <f>D46</f>
        <v>2528613.5229549999</v>
      </c>
      <c r="K33" s="257" t="s">
        <v>60</v>
      </c>
    </row>
    <row r="34" spans="1:11" ht="18" customHeight="1" x14ac:dyDescent="0.2">
      <c r="A34" s="149" t="s">
        <v>24</v>
      </c>
      <c r="B34" s="200">
        <v>1938117.4883999999</v>
      </c>
      <c r="C34" s="61"/>
      <c r="D34" s="236"/>
      <c r="E34" s="60"/>
      <c r="F34" s="60"/>
      <c r="G34" s="60"/>
      <c r="H34" s="88"/>
      <c r="J34" s="249">
        <v>62740.700000000004</v>
      </c>
      <c r="K34" s="257" t="s">
        <v>62</v>
      </c>
    </row>
    <row r="35" spans="1:11" ht="18" customHeight="1" x14ac:dyDescent="0.2">
      <c r="A35" s="150" t="s">
        <v>20</v>
      </c>
      <c r="B35" s="200">
        <v>119227.1885</v>
      </c>
      <c r="C35" s="61"/>
      <c r="D35" s="236"/>
      <c r="E35" s="60"/>
      <c r="F35" s="60"/>
      <c r="G35" s="60"/>
      <c r="H35" s="88"/>
      <c r="J35" s="267">
        <f>B31-J32-J33-J34</f>
        <v>-2.8376234695315361E-10</v>
      </c>
    </row>
    <row r="36" spans="1:11" ht="18" customHeight="1" x14ac:dyDescent="0.2">
      <c r="A36" s="150" t="s">
        <v>22</v>
      </c>
      <c r="B36" s="200">
        <v>49675.568585000001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42803.92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25846027.296756022</v>
      </c>
      <c r="C40" s="249">
        <f>B32-B40-J34</f>
        <v>-2.3101165425032377E-8</v>
      </c>
      <c r="D40" s="259">
        <v>25846027.296755999</v>
      </c>
      <c r="E40" s="249">
        <f>B40-D40</f>
        <v>0</v>
      </c>
    </row>
    <row r="41" spans="1:11" hidden="1" x14ac:dyDescent="0.2">
      <c r="A41" s="255" t="s">
        <v>49</v>
      </c>
      <c r="B41" s="249">
        <v>378789.35746999999</v>
      </c>
      <c r="C41" s="249">
        <f>B33-B41</f>
        <v>0</v>
      </c>
      <c r="D41" s="259">
        <v>378789.35746999999</v>
      </c>
      <c r="E41" s="249">
        <f>B41-D41</f>
        <v>0</v>
      </c>
    </row>
    <row r="42" spans="1:11" hidden="1" x14ac:dyDescent="0.2">
      <c r="A42" s="255" t="s">
        <v>24</v>
      </c>
      <c r="B42" s="249">
        <v>1938117.4884000001</v>
      </c>
      <c r="C42" s="249">
        <f t="shared" ref="C42:C45" si="8">B34-B42</f>
        <v>0</v>
      </c>
      <c r="D42" s="266">
        <v>1938117.4883999999</v>
      </c>
      <c r="E42" s="249">
        <f>B42-D42</f>
        <v>0</v>
      </c>
    </row>
    <row r="43" spans="1:11" hidden="1" x14ac:dyDescent="0.2">
      <c r="A43" s="255" t="s">
        <v>20</v>
      </c>
      <c r="B43" s="249">
        <v>119227.1885</v>
      </c>
      <c r="C43" s="249">
        <f t="shared" si="8"/>
        <v>0</v>
      </c>
      <c r="D43" s="259">
        <v>119227.1885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49675.568585000001</v>
      </c>
      <c r="C44" s="249">
        <f t="shared" si="8"/>
        <v>0</v>
      </c>
      <c r="D44" s="259">
        <v>49675.568585000001</v>
      </c>
      <c r="E44" s="249">
        <f>B44-D44</f>
        <v>0</v>
      </c>
    </row>
    <row r="45" spans="1:11" hidden="1" x14ac:dyDescent="0.2">
      <c r="A45" s="255" t="s">
        <v>42</v>
      </c>
      <c r="B45" s="249">
        <v>42803.92</v>
      </c>
      <c r="C45" s="249">
        <f t="shared" si="8"/>
        <v>0</v>
      </c>
      <c r="D45" s="259">
        <v>42803.92</v>
      </c>
      <c r="E45" s="249">
        <f t="shared" si="9"/>
        <v>0</v>
      </c>
    </row>
    <row r="46" spans="1:11" hidden="1" x14ac:dyDescent="0.2">
      <c r="B46" s="249">
        <f>SUM(B41:B45)</f>
        <v>2528613.5229550004</v>
      </c>
      <c r="C46" s="249">
        <f>SUM(C40:C45)</f>
        <v>-2.3101165425032377E-8</v>
      </c>
      <c r="D46" s="259">
        <f>SUM(D41:D45)</f>
        <v>2528613.5229549999</v>
      </c>
      <c r="E46" s="249">
        <f>SUM(E40:E45)</f>
        <v>0</v>
      </c>
    </row>
    <row r="47" spans="1:11" hidden="1" x14ac:dyDescent="0.2">
      <c r="B47" s="267">
        <f>B46+B40+J34-B32</f>
        <v>2528613.5229550228</v>
      </c>
      <c r="C47" s="249"/>
      <c r="D47" s="259">
        <f>D46+D40</f>
        <v>28374640.819711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81">
        <v>43922</v>
      </c>
      <c r="B3" s="381"/>
      <c r="C3" s="381"/>
      <c r="D3" s="381"/>
      <c r="E3" s="381"/>
      <c r="F3" s="381"/>
      <c r="G3" s="381"/>
      <c r="H3" s="381"/>
    </row>
    <row r="4" spans="1: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5290336</v>
      </c>
      <c r="C6" s="24">
        <v>14123</v>
      </c>
      <c r="D6" s="24">
        <v>63184</v>
      </c>
      <c r="E6" s="24">
        <v>383607</v>
      </c>
      <c r="F6" s="24">
        <v>2040761</v>
      </c>
      <c r="G6" s="24">
        <v>0</v>
      </c>
      <c r="H6" s="34">
        <v>2788661</v>
      </c>
    </row>
    <row r="7" spans="1:8" x14ac:dyDescent="0.2">
      <c r="A7" s="38" t="s">
        <v>17</v>
      </c>
      <c r="B7" s="42">
        <v>5201781</v>
      </c>
      <c r="C7" s="4"/>
      <c r="D7" s="4">
        <v>63184</v>
      </c>
      <c r="E7" s="4">
        <v>383607</v>
      </c>
      <c r="F7" s="4">
        <v>2035820</v>
      </c>
      <c r="G7" s="4"/>
      <c r="H7" s="8">
        <v>2719170</v>
      </c>
    </row>
    <row r="8" spans="1:8" x14ac:dyDescent="0.2">
      <c r="A8" s="38" t="s">
        <v>7</v>
      </c>
      <c r="B8" s="42">
        <v>73507</v>
      </c>
      <c r="C8" s="4"/>
      <c r="D8" s="4"/>
      <c r="E8" s="4"/>
      <c r="F8" s="4">
        <v>4941</v>
      </c>
      <c r="G8" s="4"/>
      <c r="H8" s="8">
        <v>68566</v>
      </c>
    </row>
    <row r="9" spans="1:8" x14ac:dyDescent="0.2">
      <c r="A9" s="38" t="s">
        <v>8</v>
      </c>
      <c r="B9" s="42">
        <v>925</v>
      </c>
      <c r="C9" s="4"/>
      <c r="D9" s="4"/>
      <c r="E9" s="4"/>
      <c r="F9" s="4"/>
      <c r="G9" s="4"/>
      <c r="H9" s="8">
        <v>925</v>
      </c>
    </row>
    <row r="10" spans="1:8" x14ac:dyDescent="0.2">
      <c r="A10" s="38" t="s">
        <v>18</v>
      </c>
      <c r="B10" s="42">
        <v>14123</v>
      </c>
      <c r="C10" s="4">
        <v>14123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36847588</v>
      </c>
      <c r="C11" s="5">
        <v>107198</v>
      </c>
      <c r="D11" s="5">
        <v>494891</v>
      </c>
      <c r="E11" s="5">
        <v>101930</v>
      </c>
      <c r="F11" s="5">
        <v>3638104</v>
      </c>
      <c r="G11" s="5">
        <v>16480</v>
      </c>
      <c r="H11" s="35">
        <v>32488985</v>
      </c>
    </row>
    <row r="12" spans="1:8" x14ac:dyDescent="0.2">
      <c r="A12" s="38" t="s">
        <v>17</v>
      </c>
      <c r="B12" s="42">
        <v>35223797</v>
      </c>
      <c r="C12" s="4"/>
      <c r="D12" s="4">
        <v>494891</v>
      </c>
      <c r="E12" s="4">
        <v>101930</v>
      </c>
      <c r="F12" s="4">
        <v>3613562</v>
      </c>
      <c r="G12" s="4">
        <v>16480</v>
      </c>
      <c r="H12" s="6">
        <v>30996934</v>
      </c>
    </row>
    <row r="13" spans="1:8" x14ac:dyDescent="0.2">
      <c r="A13" s="38" t="s">
        <v>7</v>
      </c>
      <c r="B13" s="42">
        <v>1439752</v>
      </c>
      <c r="C13" s="7"/>
      <c r="D13" s="7"/>
      <c r="E13" s="7"/>
      <c r="F13" s="7">
        <v>24542</v>
      </c>
      <c r="G13" s="7"/>
      <c r="H13" s="6">
        <v>1415210</v>
      </c>
    </row>
    <row r="14" spans="1:8" x14ac:dyDescent="0.2">
      <c r="A14" s="38" t="s">
        <v>8</v>
      </c>
      <c r="B14" s="42">
        <v>76841</v>
      </c>
      <c r="C14" s="4"/>
      <c r="D14" s="4"/>
      <c r="E14" s="4"/>
      <c r="F14" s="4"/>
      <c r="G14" s="4"/>
      <c r="H14" s="6">
        <v>76841</v>
      </c>
    </row>
    <row r="15" spans="1:8" x14ac:dyDescent="0.2">
      <c r="A15" s="38" t="s">
        <v>18</v>
      </c>
      <c r="B15" s="42">
        <v>107198</v>
      </c>
      <c r="C15" s="4">
        <v>107198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64921335</v>
      </c>
      <c r="C16" s="5">
        <v>2955482</v>
      </c>
      <c r="D16" s="5">
        <v>10341338</v>
      </c>
      <c r="E16" s="5">
        <v>5133077</v>
      </c>
      <c r="F16" s="5">
        <v>37960890</v>
      </c>
      <c r="G16" s="5">
        <v>55840</v>
      </c>
      <c r="H16" s="35">
        <v>8474708</v>
      </c>
    </row>
    <row r="17" spans="1:8" x14ac:dyDescent="0.2">
      <c r="A17" s="38" t="s">
        <v>17</v>
      </c>
      <c r="B17" s="2">
        <v>61322913</v>
      </c>
      <c r="C17" s="4"/>
      <c r="D17" s="4">
        <v>10341338</v>
      </c>
      <c r="E17" s="4">
        <v>5124607</v>
      </c>
      <c r="F17" s="4">
        <v>37716911</v>
      </c>
      <c r="G17" s="4">
        <v>55840</v>
      </c>
      <c r="H17" s="6">
        <v>8084217</v>
      </c>
    </row>
    <row r="18" spans="1:8" x14ac:dyDescent="0.2">
      <c r="A18" s="38" t="s">
        <v>7</v>
      </c>
      <c r="B18" s="25">
        <v>596521</v>
      </c>
      <c r="C18" s="7"/>
      <c r="D18" s="7"/>
      <c r="E18" s="7">
        <v>8470</v>
      </c>
      <c r="F18" s="7">
        <v>224554</v>
      </c>
      <c r="G18" s="7"/>
      <c r="H18" s="6">
        <v>363497</v>
      </c>
    </row>
    <row r="19" spans="1:8" x14ac:dyDescent="0.2">
      <c r="A19" s="38" t="s">
        <v>8</v>
      </c>
      <c r="B19" s="2">
        <v>46419</v>
      </c>
      <c r="C19" s="4"/>
      <c r="D19" s="4"/>
      <c r="E19" s="4"/>
      <c r="F19" s="4">
        <v>19425</v>
      </c>
      <c r="G19" s="4"/>
      <c r="H19" s="8">
        <v>26994</v>
      </c>
    </row>
    <row r="20" spans="1:8" ht="19.5" customHeight="1" x14ac:dyDescent="0.2">
      <c r="A20" s="38" t="s">
        <v>18</v>
      </c>
      <c r="B20" s="2">
        <v>2955482</v>
      </c>
      <c r="C20" s="4">
        <v>2955482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107059259</v>
      </c>
      <c r="C21" s="9">
        <v>3076803</v>
      </c>
      <c r="D21" s="9">
        <v>10899413</v>
      </c>
      <c r="E21" s="9">
        <v>5618614</v>
      </c>
      <c r="F21" s="9">
        <v>43639755</v>
      </c>
      <c r="G21" s="9">
        <v>72320</v>
      </c>
      <c r="H21" s="36">
        <v>43752354</v>
      </c>
    </row>
    <row r="22" spans="1:8" ht="15.75" customHeight="1" x14ac:dyDescent="0.2">
      <c r="A22" s="39" t="s">
        <v>21</v>
      </c>
      <c r="B22" s="43">
        <v>68197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7608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8" ht="24.75" customHeight="1" x14ac:dyDescent="0.2">
      <c r="A25" s="47" t="s">
        <v>28</v>
      </c>
      <c r="B25" s="50">
        <v>9.7989999999999995</v>
      </c>
      <c r="C25" s="26">
        <v>2.081</v>
      </c>
      <c r="D25" s="26">
        <v>0.25700000000000001</v>
      </c>
      <c r="E25" s="26">
        <v>6.0000000000000001E-3</v>
      </c>
      <c r="F25" s="26">
        <v>6.4470000000000001</v>
      </c>
      <c r="G25" s="26">
        <v>8.0000000000000002E-3</v>
      </c>
      <c r="H25" s="27">
        <v>1</v>
      </c>
    </row>
    <row r="26" spans="1:8" x14ac:dyDescent="0.2">
      <c r="A26" s="48" t="s">
        <v>18</v>
      </c>
      <c r="B26" s="51">
        <v>2.081</v>
      </c>
      <c r="C26" s="28">
        <v>2.081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7.6949999999999994</v>
      </c>
      <c r="C27" s="28"/>
      <c r="D27" s="28">
        <v>0.25700000000000001</v>
      </c>
      <c r="E27" s="28">
        <v>6.0000000000000001E-3</v>
      </c>
      <c r="F27" s="28">
        <v>6.4409999999999998</v>
      </c>
      <c r="G27" s="28">
        <v>8.0000000000000002E-3</v>
      </c>
      <c r="H27" s="29">
        <v>0.98299999999999998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6.0000000000000001E-3</v>
      </c>
      <c r="G28" s="30"/>
      <c r="H28" s="31">
        <v>1.7000000000000001E-2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21532404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19673336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335898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1331270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123521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68379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DD0D-88F1-435A-9831-97EBF8F465C7}">
  <sheetPr>
    <tabColor rgb="FFCCFFFF"/>
    <pageSetUpPr fitToPage="1"/>
  </sheetPr>
  <dimension ref="A1:R55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45017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5159826.1803719997</v>
      </c>
      <c r="C6" s="135">
        <f>SUM(C7:C10)</f>
        <v>17258</v>
      </c>
      <c r="D6" s="135">
        <f t="shared" ref="D6:H6" si="0">SUM(D7:D10)</f>
        <v>58640.610851999998</v>
      </c>
      <c r="E6" s="135">
        <f t="shared" si="0"/>
        <v>411665.38</v>
      </c>
      <c r="F6" s="135">
        <f t="shared" si="0"/>
        <v>1883854.8540200002</v>
      </c>
      <c r="G6" s="135">
        <f t="shared" si="0"/>
        <v>0</v>
      </c>
      <c r="H6" s="137">
        <f t="shared" si="0"/>
        <v>2788407.3354999996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5063738.8803719999</v>
      </c>
      <c r="C7" s="152">
        <v>0</v>
      </c>
      <c r="D7" s="152">
        <v>58640.610851999998</v>
      </c>
      <c r="E7" s="152">
        <v>411665.38</v>
      </c>
      <c r="F7" s="152">
        <v>1877796.8540200002</v>
      </c>
      <c r="G7" s="152">
        <v>0</v>
      </c>
      <c r="H7" s="196">
        <v>2715636.0354999998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74702.3</v>
      </c>
      <c r="C8" s="152">
        <v>0</v>
      </c>
      <c r="D8" s="152">
        <v>0</v>
      </c>
      <c r="E8" s="152">
        <v>0</v>
      </c>
      <c r="F8" s="152">
        <v>6058</v>
      </c>
      <c r="G8" s="152">
        <v>0</v>
      </c>
      <c r="H8" s="196">
        <v>68644.3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4127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4127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v>0</v>
      </c>
    </row>
    <row r="10" spans="1:18" ht="18" customHeight="1" x14ac:dyDescent="0.25">
      <c r="A10" s="173" t="s">
        <v>45</v>
      </c>
      <c r="B10" s="166">
        <f t="shared" si="1"/>
        <v>17258</v>
      </c>
      <c r="C10" s="152">
        <v>17258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6755.9999999999945</v>
      </c>
      <c r="N10" s="75">
        <v>2900</v>
      </c>
      <c r="O10" s="75"/>
      <c r="P10" s="75"/>
      <c r="Q10" s="76">
        <v>9655.9999999999945</v>
      </c>
    </row>
    <row r="11" spans="1:18" ht="18" customHeight="1" x14ac:dyDescent="0.2">
      <c r="A11" s="176" t="s">
        <v>9</v>
      </c>
      <c r="B11" s="165">
        <f t="shared" si="1"/>
        <v>37670092.408599995</v>
      </c>
      <c r="C11" s="135">
        <f>SUM(C12:C15)</f>
        <v>199494.39999999999</v>
      </c>
      <c r="D11" s="135">
        <f t="shared" ref="D11:H11" si="2">SUM(D12:D15)</f>
        <v>593566.51</v>
      </c>
      <c r="E11" s="135">
        <f t="shared" si="2"/>
        <v>69877</v>
      </c>
      <c r="F11" s="135">
        <f t="shared" si="2"/>
        <v>2459386.9292000006</v>
      </c>
      <c r="G11" s="135">
        <f t="shared" si="2"/>
        <v>4880</v>
      </c>
      <c r="H11" s="137">
        <f t="shared" si="2"/>
        <v>34342887.569399998</v>
      </c>
      <c r="J11" s="74" t="s">
        <v>1</v>
      </c>
      <c r="K11" s="77">
        <v>0</v>
      </c>
      <c r="L11" s="77">
        <v>0</v>
      </c>
      <c r="M11" s="77">
        <v>6755.9999999999945</v>
      </c>
      <c r="N11" s="77">
        <v>2900</v>
      </c>
      <c r="O11" s="77">
        <v>0</v>
      </c>
      <c r="P11" s="77">
        <v>0</v>
      </c>
      <c r="Q11" s="77">
        <v>9655.9999999999945</v>
      </c>
    </row>
    <row r="12" spans="1:18" ht="18" customHeight="1" x14ac:dyDescent="0.25">
      <c r="A12" s="173" t="s">
        <v>46</v>
      </c>
      <c r="B12" s="166">
        <f t="shared" si="1"/>
        <v>35947017.308600001</v>
      </c>
      <c r="C12" s="152">
        <v>0</v>
      </c>
      <c r="D12" s="152">
        <v>593566.51</v>
      </c>
      <c r="E12" s="152">
        <v>69877</v>
      </c>
      <c r="F12" s="152">
        <v>2426202.9292000006</v>
      </c>
      <c r="G12" s="152">
        <v>4880</v>
      </c>
      <c r="H12" s="196">
        <v>32852490.869399998</v>
      </c>
      <c r="J12" s="74"/>
      <c r="K12" s="78"/>
      <c r="L12" s="78"/>
      <c r="M12" s="78"/>
      <c r="N12" s="78"/>
      <c r="O12" s="78"/>
      <c r="P12" s="78"/>
      <c r="Q12" s="79">
        <v>0</v>
      </c>
    </row>
    <row r="13" spans="1:18" ht="24" customHeight="1" x14ac:dyDescent="0.25">
      <c r="A13" s="177" t="s">
        <v>47</v>
      </c>
      <c r="B13" s="166">
        <f t="shared" si="1"/>
        <v>1445083.7</v>
      </c>
      <c r="C13" s="152">
        <v>0</v>
      </c>
      <c r="D13" s="152">
        <v>0</v>
      </c>
      <c r="E13" s="152">
        <v>0</v>
      </c>
      <c r="F13" s="152">
        <v>33184</v>
      </c>
      <c r="G13" s="152">
        <v>0</v>
      </c>
      <c r="H13" s="196">
        <v>1411899.7</v>
      </c>
      <c r="J13" s="80" t="s">
        <v>39</v>
      </c>
      <c r="K13" s="81">
        <v>0</v>
      </c>
      <c r="L13" s="81">
        <v>0</v>
      </c>
      <c r="M13" s="81">
        <v>6755.9999999999945</v>
      </c>
      <c r="N13" s="81">
        <v>2900</v>
      </c>
      <c r="O13" s="81">
        <v>0</v>
      </c>
      <c r="P13" s="81">
        <v>0</v>
      </c>
      <c r="Q13" s="82">
        <v>9655.9999999999945</v>
      </c>
      <c r="R13" s="105"/>
    </row>
    <row r="14" spans="1:18" ht="24" customHeight="1" x14ac:dyDescent="0.2">
      <c r="A14" s="177" t="s">
        <v>48</v>
      </c>
      <c r="B14" s="166">
        <f t="shared" si="1"/>
        <v>78497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78497</v>
      </c>
      <c r="Q14" s="32"/>
    </row>
    <row r="15" spans="1:18" ht="18" customHeight="1" x14ac:dyDescent="0.2">
      <c r="A15" s="173" t="s">
        <v>45</v>
      </c>
      <c r="B15" s="166">
        <f t="shared" si="1"/>
        <v>199494.39999999999</v>
      </c>
      <c r="C15" s="152">
        <v>199494.39999999999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43531642.058248967</v>
      </c>
      <c r="C16" s="135">
        <f>SUM(C17:C20)</f>
        <v>2332556.9768369999</v>
      </c>
      <c r="D16" s="135">
        <f t="shared" ref="D16:H16" si="3">SUM(D17:D20)</f>
        <v>9788728.5160620008</v>
      </c>
      <c r="E16" s="135">
        <f t="shared" si="3"/>
        <v>1647941.6842430001</v>
      </c>
      <c r="F16" s="135">
        <f t="shared" si="3"/>
        <v>20514171.243028957</v>
      </c>
      <c r="G16" s="135">
        <f t="shared" si="3"/>
        <v>144108.802559</v>
      </c>
      <c r="H16" s="137">
        <f t="shared" si="3"/>
        <v>9104134.8355190009</v>
      </c>
    </row>
    <row r="17" spans="1:14" ht="18" customHeight="1" x14ac:dyDescent="0.2">
      <c r="A17" s="173" t="s">
        <v>46</v>
      </c>
      <c r="B17" s="166">
        <f t="shared" si="1"/>
        <v>40434812.394224957</v>
      </c>
      <c r="C17" s="152">
        <v>0</v>
      </c>
      <c r="D17" s="152">
        <v>9788728.5160620008</v>
      </c>
      <c r="E17" s="152">
        <v>1642442.2826340001</v>
      </c>
      <c r="F17" s="152">
        <v>20202669.607182957</v>
      </c>
      <c r="G17" s="152">
        <v>144108.802559</v>
      </c>
      <c r="H17" s="196">
        <f>8666519.185787-9656</f>
        <v>8656863.1857869998</v>
      </c>
      <c r="I17" s="11"/>
    </row>
    <row r="18" spans="1:14" ht="24" customHeight="1" x14ac:dyDescent="0.2">
      <c r="A18" s="177" t="s">
        <v>47</v>
      </c>
      <c r="B18" s="166">
        <f t="shared" si="1"/>
        <v>684896.28718699992</v>
      </c>
      <c r="C18" s="152">
        <v>0</v>
      </c>
      <c r="D18" s="152">
        <v>0</v>
      </c>
      <c r="E18" s="152">
        <v>5499.4016090000005</v>
      </c>
      <c r="F18" s="152">
        <v>258861.03584600001</v>
      </c>
      <c r="G18" s="152">
        <v>0</v>
      </c>
      <c r="H18" s="196">
        <v>420535.84973199992</v>
      </c>
      <c r="J18" s="212"/>
    </row>
    <row r="19" spans="1:14" ht="24" customHeight="1" x14ac:dyDescent="0.2">
      <c r="A19" s="177" t="s">
        <v>48</v>
      </c>
      <c r="B19" s="166">
        <f t="shared" si="1"/>
        <v>79376.399999999994</v>
      </c>
      <c r="C19" s="152">
        <v>0</v>
      </c>
      <c r="D19" s="152">
        <v>0</v>
      </c>
      <c r="E19" s="152">
        <v>0</v>
      </c>
      <c r="F19" s="152">
        <v>52640.6</v>
      </c>
      <c r="G19" s="152">
        <v>0</v>
      </c>
      <c r="H19" s="196">
        <v>26735.800000000003</v>
      </c>
      <c r="J19" s="212"/>
    </row>
    <row r="20" spans="1:14" ht="18" customHeight="1" x14ac:dyDescent="0.2">
      <c r="A20" s="173" t="s">
        <v>45</v>
      </c>
      <c r="B20" s="166">
        <f t="shared" si="1"/>
        <v>2332556.9768369999</v>
      </c>
      <c r="C20" s="152">
        <v>2332556.9768369999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86361560.647220969</v>
      </c>
      <c r="C21" s="135">
        <f>C6+C11+C16</f>
        <v>2549309.3768369998</v>
      </c>
      <c r="D21" s="135">
        <f t="shared" ref="D21:H21" si="4">D6+D11+D16</f>
        <v>10440935.636914</v>
      </c>
      <c r="E21" s="135">
        <f t="shared" si="4"/>
        <v>2129484.064243</v>
      </c>
      <c r="F21" s="135">
        <f t="shared" si="4"/>
        <v>24857413.026248958</v>
      </c>
      <c r="G21" s="135">
        <f t="shared" si="4"/>
        <v>148988.802559</v>
      </c>
      <c r="H21" s="137">
        <f t="shared" si="4"/>
        <v>46235429.740419</v>
      </c>
      <c r="J21" s="249">
        <v>86371216.647220984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-1.4906618162058294E-8</v>
      </c>
      <c r="K22" s="255"/>
    </row>
    <row r="23" spans="1:14" ht="18" customHeight="1" thickBot="1" x14ac:dyDescent="0.25">
      <c r="A23" s="185" t="s">
        <v>14</v>
      </c>
      <c r="B23" s="214">
        <v>3870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9.0164725669999992</v>
      </c>
      <c r="C25" s="144">
        <f>SUM(C26:C29)</f>
        <v>2.8139008670000001</v>
      </c>
      <c r="D25" s="144">
        <f t="shared" ref="D25:H25" si="5">SUM(D26:D29)</f>
        <v>0.37177896599999999</v>
      </c>
      <c r="E25" s="144">
        <f t="shared" si="5"/>
        <v>2.8508370000000002E-3</v>
      </c>
      <c r="F25" s="144">
        <f t="shared" si="5"/>
        <v>5.4301132169999997</v>
      </c>
      <c r="G25" s="144">
        <f t="shared" si="5"/>
        <v>0.14154224400000001</v>
      </c>
      <c r="H25" s="145">
        <f t="shared" si="5"/>
        <v>0.25628643600000001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2.8139008670000001</v>
      </c>
      <c r="C26" s="169">
        <v>2.8139008670000001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2.8139008670000001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6.1817368410000002</v>
      </c>
      <c r="C27" s="169">
        <v>0</v>
      </c>
      <c r="D27" s="169">
        <v>0.37177896599999999</v>
      </c>
      <c r="E27" s="169">
        <v>2.8508370000000002E-3</v>
      </c>
      <c r="F27" s="169">
        <v>5.4200717169999999</v>
      </c>
      <c r="G27" s="169">
        <v>0.14154224400000001</v>
      </c>
      <c r="H27" s="180">
        <v>0.245493077</v>
      </c>
      <c r="J27" s="251">
        <v>6.2025717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2.0834859000000001E-2</v>
      </c>
      <c r="C28" s="169">
        <v>0</v>
      </c>
      <c r="D28" s="169">
        <v>0</v>
      </c>
      <c r="E28" s="169">
        <v>0</v>
      </c>
      <c r="F28" s="169">
        <v>1.00415E-2</v>
      </c>
      <c r="G28" s="169">
        <v>0</v>
      </c>
      <c r="H28" s="180">
        <v>1.0793359000000001E-2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19698015.193241004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17835451.346646</v>
      </c>
      <c r="C32" s="60"/>
      <c r="D32" s="236"/>
      <c r="E32" s="60"/>
      <c r="F32" s="60"/>
      <c r="G32" s="60"/>
      <c r="H32" s="88"/>
      <c r="J32" s="249">
        <f>D40</f>
        <v>17889424.651845999</v>
      </c>
      <c r="K32" s="257" t="s">
        <v>61</v>
      </c>
    </row>
    <row r="33" spans="1:11" ht="24" customHeight="1" x14ac:dyDescent="0.2">
      <c r="A33" s="148" t="s">
        <v>49</v>
      </c>
      <c r="B33" s="200">
        <v>356267.74314699997</v>
      </c>
      <c r="C33" s="61"/>
      <c r="D33" s="236"/>
      <c r="E33" s="60"/>
      <c r="F33" s="60"/>
      <c r="G33" s="60"/>
      <c r="H33" s="88"/>
      <c r="J33" s="249">
        <f>D46</f>
        <v>1862563.846595</v>
      </c>
      <c r="K33" s="257" t="s">
        <v>60</v>
      </c>
    </row>
    <row r="34" spans="1:11" ht="18" customHeight="1" x14ac:dyDescent="0.2">
      <c r="A34" s="149" t="s">
        <v>24</v>
      </c>
      <c r="B34" s="200">
        <v>1232851.8288</v>
      </c>
      <c r="C34" s="61"/>
      <c r="D34" s="236"/>
      <c r="E34" s="60"/>
      <c r="F34" s="60"/>
      <c r="G34" s="60"/>
      <c r="H34" s="88"/>
      <c r="J34" s="249">
        <v>-53973.305199999995</v>
      </c>
      <c r="K34" s="257" t="s">
        <v>62</v>
      </c>
    </row>
    <row r="35" spans="1:11" ht="18" customHeight="1" x14ac:dyDescent="0.2">
      <c r="A35" s="150" t="s">
        <v>20</v>
      </c>
      <c r="B35" s="200">
        <v>165728.49350000001</v>
      </c>
      <c r="C35" s="61"/>
      <c r="D35" s="236"/>
      <c r="E35" s="60"/>
      <c r="F35" s="60"/>
      <c r="G35" s="60"/>
      <c r="H35" s="88"/>
      <c r="J35" s="267">
        <f>B31-J32-J33-J34</f>
        <v>4.8239598982036114E-9</v>
      </c>
    </row>
    <row r="36" spans="1:11" ht="18" customHeight="1" x14ac:dyDescent="0.2">
      <c r="A36" s="150" t="s">
        <v>22</v>
      </c>
      <c r="B36" s="200">
        <v>63278.841148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44436.94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17889424.65184601</v>
      </c>
      <c r="C40" s="249">
        <f>B32-B40-J34</f>
        <v>-1.0542862582951784E-8</v>
      </c>
      <c r="D40" s="259">
        <v>17889424.651845999</v>
      </c>
      <c r="E40" s="249">
        <f>B40-D40</f>
        <v>0</v>
      </c>
    </row>
    <row r="41" spans="1:11" hidden="1" x14ac:dyDescent="0.2">
      <c r="A41" s="255" t="s">
        <v>49</v>
      </c>
      <c r="B41" s="249">
        <v>356267.74314699997</v>
      </c>
      <c r="C41" s="249">
        <f>B33-B41</f>
        <v>0</v>
      </c>
      <c r="D41" s="259">
        <v>356267.74314699997</v>
      </c>
      <c r="E41" s="249">
        <f>B41-D41</f>
        <v>0</v>
      </c>
    </row>
    <row r="42" spans="1:11" hidden="1" x14ac:dyDescent="0.2">
      <c r="A42" s="255" t="s">
        <v>24</v>
      </c>
      <c r="B42" s="249">
        <v>1232851.8287999993</v>
      </c>
      <c r="C42" s="249">
        <f t="shared" ref="C42:C45" si="6">B34-B42</f>
        <v>0</v>
      </c>
      <c r="D42" s="266">
        <v>1232851.8288</v>
      </c>
      <c r="E42" s="249">
        <f>B42-D42</f>
        <v>0</v>
      </c>
    </row>
    <row r="43" spans="1:11" hidden="1" x14ac:dyDescent="0.2">
      <c r="A43" s="255" t="s">
        <v>20</v>
      </c>
      <c r="B43" s="249">
        <v>165728.49350000001</v>
      </c>
      <c r="C43" s="249">
        <f t="shared" si="6"/>
        <v>0</v>
      </c>
      <c r="D43" s="259">
        <v>165728.49350000001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63278.841148000065</v>
      </c>
      <c r="C44" s="249">
        <f t="shared" si="6"/>
        <v>-6.5483618527650833E-11</v>
      </c>
      <c r="D44" s="259">
        <v>63278.841148</v>
      </c>
      <c r="E44" s="249">
        <f>B44-D44</f>
        <v>6.5483618527650833E-11</v>
      </c>
    </row>
    <row r="45" spans="1:11" hidden="1" x14ac:dyDescent="0.2">
      <c r="A45" s="255" t="s">
        <v>42</v>
      </c>
      <c r="B45" s="249">
        <v>44436.94</v>
      </c>
      <c r="C45" s="249">
        <f t="shared" si="6"/>
        <v>0</v>
      </c>
      <c r="D45" s="259">
        <v>44436.94</v>
      </c>
      <c r="E45" s="249">
        <f t="shared" si="7"/>
        <v>0</v>
      </c>
    </row>
    <row r="46" spans="1:11" hidden="1" x14ac:dyDescent="0.2">
      <c r="B46" s="249">
        <f>SUM(B41:B45)</f>
        <v>1862563.8465949993</v>
      </c>
      <c r="C46" s="249">
        <f>SUM(C40:C45)</f>
        <v>-1.0608346201479435E-8</v>
      </c>
      <c r="D46" s="259">
        <f>SUM(D41:D45)</f>
        <v>1862563.846595</v>
      </c>
      <c r="E46" s="249">
        <f>SUM(E40:E45)</f>
        <v>6.5483618527650833E-11</v>
      </c>
    </row>
    <row r="47" spans="1:11" hidden="1" x14ac:dyDescent="0.2">
      <c r="B47" s="267">
        <f>B46+B40+J34-B32</f>
        <v>1862563.8465950117</v>
      </c>
      <c r="C47" s="249"/>
      <c r="D47" s="259">
        <f>D46+D40</f>
        <v>19751988.498441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F1BB-29DD-4F74-BB29-750F1CD994F0}">
  <sheetPr>
    <tabColor rgb="FFCCFFFF"/>
    <pageSetUpPr fitToPage="1"/>
  </sheetPr>
  <dimension ref="A1:R49"/>
  <sheetViews>
    <sheetView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45047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4328189.8542309999</v>
      </c>
      <c r="C6" s="135">
        <f>SUM(C7:C10)</f>
        <v>19621.05</v>
      </c>
      <c r="D6" s="135">
        <f t="shared" ref="D6:H6" si="0">SUM(D7:D10)</f>
        <v>56319.283170000002</v>
      </c>
      <c r="E6" s="135">
        <f t="shared" si="0"/>
        <v>320559.88</v>
      </c>
      <c r="F6" s="135">
        <f t="shared" si="0"/>
        <v>1730960.2879610001</v>
      </c>
      <c r="G6" s="135">
        <f t="shared" si="0"/>
        <v>0</v>
      </c>
      <c r="H6" s="137">
        <f t="shared" si="0"/>
        <v>2200729.3530999999</v>
      </c>
      <c r="J6" s="270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4210822.8042310001</v>
      </c>
      <c r="C7" s="152">
        <v>0</v>
      </c>
      <c r="D7" s="152">
        <v>56319.283170000002</v>
      </c>
      <c r="E7" s="152">
        <v>320559.88</v>
      </c>
      <c r="F7" s="152">
        <v>1725566.2879610001</v>
      </c>
      <c r="G7" s="152">
        <v>0</v>
      </c>
      <c r="H7" s="196">
        <v>2108377.3530999999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95415</v>
      </c>
      <c r="C8" s="152">
        <v>0</v>
      </c>
      <c r="D8" s="152">
        <v>0</v>
      </c>
      <c r="E8" s="152">
        <v>0</v>
      </c>
      <c r="F8" s="152">
        <v>5394</v>
      </c>
      <c r="G8" s="152">
        <v>0</v>
      </c>
      <c r="H8" s="196">
        <v>90021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2331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2331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19621.05</v>
      </c>
      <c r="C10" s="152">
        <v>19621.05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9732</v>
      </c>
      <c r="N10" s="75">
        <v>3287</v>
      </c>
      <c r="O10" s="75"/>
      <c r="P10" s="75"/>
      <c r="Q10" s="190">
        <v>13019</v>
      </c>
    </row>
    <row r="11" spans="1:18" ht="18" customHeight="1" x14ac:dyDescent="0.2">
      <c r="A11" s="176" t="s">
        <v>9</v>
      </c>
      <c r="B11" s="165">
        <f t="shared" si="1"/>
        <v>38355269.063989997</v>
      </c>
      <c r="C11" s="135">
        <f>SUM(C12:C15)</f>
        <v>178144.3328</v>
      </c>
      <c r="D11" s="135">
        <f t="shared" ref="D11:H11" si="2">SUM(D12:D15)</f>
        <v>624974</v>
      </c>
      <c r="E11" s="135">
        <f t="shared" si="2"/>
        <v>122861</v>
      </c>
      <c r="F11" s="135">
        <f t="shared" si="2"/>
        <v>3074094.4726</v>
      </c>
      <c r="G11" s="135">
        <f t="shared" si="2"/>
        <v>2320</v>
      </c>
      <c r="H11" s="137">
        <f t="shared" si="2"/>
        <v>34352875.258589998</v>
      </c>
      <c r="J11" s="268" t="s">
        <v>1</v>
      </c>
      <c r="K11" s="191">
        <v>0</v>
      </c>
      <c r="L11" s="191">
        <v>0</v>
      </c>
      <c r="M11" s="191">
        <v>9732</v>
      </c>
      <c r="N11" s="191">
        <v>3287</v>
      </c>
      <c r="O11" s="191">
        <v>0</v>
      </c>
      <c r="P11" s="191">
        <v>0</v>
      </c>
      <c r="Q11" s="191">
        <v>13019</v>
      </c>
    </row>
    <row r="12" spans="1:18" ht="18" customHeight="1" x14ac:dyDescent="0.2">
      <c r="A12" s="173" t="s">
        <v>46</v>
      </c>
      <c r="B12" s="166">
        <f t="shared" si="1"/>
        <v>36717716.731190003</v>
      </c>
      <c r="C12" s="152">
        <v>0</v>
      </c>
      <c r="D12" s="152">
        <v>624974</v>
      </c>
      <c r="E12" s="152">
        <v>122861</v>
      </c>
      <c r="F12" s="152">
        <v>3027027.4726</v>
      </c>
      <c r="G12" s="152">
        <v>2320</v>
      </c>
      <c r="H12" s="196">
        <v>32940534.258590002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1371213</v>
      </c>
      <c r="C13" s="152">
        <v>0</v>
      </c>
      <c r="D13" s="152">
        <v>0</v>
      </c>
      <c r="E13" s="152">
        <v>0</v>
      </c>
      <c r="F13" s="152">
        <v>47067</v>
      </c>
      <c r="G13" s="152">
        <v>0</v>
      </c>
      <c r="H13" s="196">
        <v>1324146</v>
      </c>
      <c r="J13" s="269" t="s">
        <v>39</v>
      </c>
      <c r="K13" s="194">
        <v>0</v>
      </c>
      <c r="L13" s="194">
        <v>0</v>
      </c>
      <c r="M13" s="194">
        <v>9732</v>
      </c>
      <c r="N13" s="194">
        <v>3287</v>
      </c>
      <c r="O13" s="194">
        <v>0</v>
      </c>
      <c r="P13" s="194">
        <v>0</v>
      </c>
      <c r="Q13" s="195">
        <v>13019</v>
      </c>
      <c r="R13" s="105"/>
    </row>
    <row r="14" spans="1:18" ht="24" customHeight="1" x14ac:dyDescent="0.2">
      <c r="A14" s="177" t="s">
        <v>48</v>
      </c>
      <c r="B14" s="166">
        <f t="shared" si="1"/>
        <v>88195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88195</v>
      </c>
      <c r="Q14" s="32"/>
    </row>
    <row r="15" spans="1:18" ht="18" customHeight="1" x14ac:dyDescent="0.2">
      <c r="A15" s="173" t="s">
        <v>45</v>
      </c>
      <c r="B15" s="166">
        <f t="shared" si="1"/>
        <v>178144.3328</v>
      </c>
      <c r="C15" s="152">
        <v>178144.3328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42138202.429348998</v>
      </c>
      <c r="C16" s="135">
        <f>SUM(C17:C20)</f>
        <v>1803282.408603</v>
      </c>
      <c r="D16" s="135">
        <f t="shared" ref="D16:H16" si="3">SUM(D17:D20)</f>
        <v>9344757.8011269998</v>
      </c>
      <c r="E16" s="135">
        <f t="shared" si="3"/>
        <v>2701469.8855289998</v>
      </c>
      <c r="F16" s="135">
        <f t="shared" si="3"/>
        <v>20071451.812842</v>
      </c>
      <c r="G16" s="135">
        <f t="shared" si="3"/>
        <v>173087.04024</v>
      </c>
      <c r="H16" s="137">
        <f t="shared" si="3"/>
        <v>8044153.4810079997</v>
      </c>
    </row>
    <row r="17" spans="1:14" ht="18" customHeight="1" x14ac:dyDescent="0.2">
      <c r="A17" s="173" t="s">
        <v>46</v>
      </c>
      <c r="B17" s="166">
        <f t="shared" si="1"/>
        <v>39615562.355435997</v>
      </c>
      <c r="C17" s="152">
        <v>0</v>
      </c>
      <c r="D17" s="152">
        <v>9344757.8011269998</v>
      </c>
      <c r="E17" s="152">
        <v>2694577.0419689999</v>
      </c>
      <c r="F17" s="152">
        <v>19742527.119993001</v>
      </c>
      <c r="G17" s="152">
        <v>173087.04024</v>
      </c>
      <c r="H17" s="196">
        <f>7673632.352107-13019</f>
        <v>7660613.3521069996</v>
      </c>
      <c r="I17" s="11"/>
    </row>
    <row r="18" spans="1:14" ht="24" customHeight="1" x14ac:dyDescent="0.2">
      <c r="A18" s="177" t="s">
        <v>47</v>
      </c>
      <c r="B18" s="166">
        <f t="shared" si="1"/>
        <v>652382.86531000002</v>
      </c>
      <c r="C18" s="152">
        <v>0</v>
      </c>
      <c r="D18" s="152">
        <v>0</v>
      </c>
      <c r="E18" s="152">
        <v>6892.8435600000003</v>
      </c>
      <c r="F18" s="152">
        <v>289777.892849</v>
      </c>
      <c r="G18" s="152">
        <v>0</v>
      </c>
      <c r="H18" s="196">
        <v>355712.12890100002</v>
      </c>
      <c r="J18" s="212"/>
    </row>
    <row r="19" spans="1:14" ht="24" customHeight="1" x14ac:dyDescent="0.2">
      <c r="A19" s="177" t="s">
        <v>48</v>
      </c>
      <c r="B19" s="166">
        <f t="shared" si="1"/>
        <v>66974.8</v>
      </c>
      <c r="C19" s="152">
        <v>0</v>
      </c>
      <c r="D19" s="152">
        <v>0</v>
      </c>
      <c r="E19" s="152">
        <v>0</v>
      </c>
      <c r="F19" s="152">
        <v>39146.800000000003</v>
      </c>
      <c r="G19" s="152">
        <v>0</v>
      </c>
      <c r="H19" s="196">
        <v>27828</v>
      </c>
      <c r="J19" s="212"/>
    </row>
    <row r="20" spans="1:14" ht="18" customHeight="1" x14ac:dyDescent="0.2">
      <c r="A20" s="173" t="s">
        <v>45</v>
      </c>
      <c r="B20" s="166">
        <f t="shared" si="1"/>
        <v>1803282.408603</v>
      </c>
      <c r="C20" s="152">
        <v>1803282.408603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84821661.347570002</v>
      </c>
      <c r="C21" s="135">
        <f>C6+C11+C16</f>
        <v>2001047.791403</v>
      </c>
      <c r="D21" s="135">
        <f t="shared" ref="D21:H21" si="4">D6+D11+D16</f>
        <v>10026051.084296999</v>
      </c>
      <c r="E21" s="135">
        <f t="shared" si="4"/>
        <v>3144890.7655289997</v>
      </c>
      <c r="F21" s="135">
        <f t="shared" si="4"/>
        <v>24876506.573403001</v>
      </c>
      <c r="G21" s="135">
        <f t="shared" si="4"/>
        <v>175407.04024</v>
      </c>
      <c r="H21" s="137">
        <f t="shared" si="4"/>
        <v>44597758.092698</v>
      </c>
      <c r="J21" s="249">
        <v>84834680.347569972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3766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8.1136845750000006</v>
      </c>
      <c r="C25" s="144">
        <f>SUM(C26:C29)</f>
        <v>2.1615674949999999</v>
      </c>
      <c r="D25" s="144">
        <f t="shared" ref="D25:H25" si="5">SUM(D26:D29)</f>
        <v>0.35890731599999998</v>
      </c>
      <c r="E25" s="144">
        <f t="shared" si="5"/>
        <v>2.8532200000000001E-3</v>
      </c>
      <c r="F25" s="144">
        <f t="shared" si="5"/>
        <v>5.1652006620000002</v>
      </c>
      <c r="G25" s="144">
        <f t="shared" si="5"/>
        <v>0.15864555599999999</v>
      </c>
      <c r="H25" s="145">
        <f t="shared" si="5"/>
        <v>0.26651032600000002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2.1615674949999999</v>
      </c>
      <c r="C26" s="169">
        <v>2.1615674949999999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2.1615674949999999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5.9330951080000007</v>
      </c>
      <c r="C27" s="169">
        <v>0</v>
      </c>
      <c r="D27" s="169">
        <v>0.35890731599999998</v>
      </c>
      <c r="E27" s="169">
        <v>2.8532200000000001E-3</v>
      </c>
      <c r="F27" s="169">
        <v>5.1572912420000003</v>
      </c>
      <c r="G27" s="169">
        <v>0.15864555599999999</v>
      </c>
      <c r="H27" s="180">
        <v>0.25539777400000002</v>
      </c>
      <c r="J27" s="251">
        <v>5.9521170799999998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1.9021971999999998E-2</v>
      </c>
      <c r="C28" s="169">
        <v>0</v>
      </c>
      <c r="D28" s="169">
        <v>0</v>
      </c>
      <c r="E28" s="169">
        <v>0</v>
      </c>
      <c r="F28" s="169">
        <v>7.9094200000000003E-3</v>
      </c>
      <c r="G28" s="169">
        <v>0</v>
      </c>
      <c r="H28" s="180">
        <v>1.1112551999999999E-2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17718846.417224001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16550369.132918</v>
      </c>
      <c r="C32" s="60"/>
      <c r="D32" s="236"/>
      <c r="E32" s="60"/>
      <c r="F32" s="60"/>
      <c r="G32" s="60"/>
      <c r="H32" s="88"/>
      <c r="J32" s="249">
        <f>D40</f>
        <v>16364185.003918</v>
      </c>
      <c r="K32" s="257" t="s">
        <v>61</v>
      </c>
    </row>
    <row r="33" spans="1:11" ht="24" customHeight="1" x14ac:dyDescent="0.2">
      <c r="A33" s="148" t="s">
        <v>49</v>
      </c>
      <c r="B33" s="200">
        <v>346988.70077599998</v>
      </c>
      <c r="C33" s="61"/>
      <c r="D33" s="236"/>
      <c r="E33" s="60"/>
      <c r="F33" s="60"/>
      <c r="G33" s="60"/>
      <c r="H33" s="88"/>
      <c r="J33" s="249">
        <f>D46</f>
        <v>1168477.284306</v>
      </c>
      <c r="K33" s="257" t="s">
        <v>60</v>
      </c>
    </row>
    <row r="34" spans="1:11" ht="18" customHeight="1" x14ac:dyDescent="0.2">
      <c r="A34" s="149" t="s">
        <v>24</v>
      </c>
      <c r="B34" s="200">
        <v>614344.76320000004</v>
      </c>
      <c r="C34" s="61"/>
      <c r="D34" s="236"/>
      <c r="E34" s="60"/>
      <c r="F34" s="60"/>
      <c r="G34" s="60"/>
      <c r="H34" s="88"/>
      <c r="J34" s="249">
        <v>186184.12899999999</v>
      </c>
      <c r="K34" s="257" t="s">
        <v>62</v>
      </c>
    </row>
    <row r="35" spans="1:11" ht="18" customHeight="1" x14ac:dyDescent="0.2">
      <c r="A35" s="150" t="s">
        <v>20</v>
      </c>
      <c r="B35" s="200">
        <v>101399.3575</v>
      </c>
      <c r="C35" s="61"/>
      <c r="D35" s="236"/>
      <c r="E35" s="60"/>
      <c r="F35" s="60"/>
      <c r="G35" s="60"/>
      <c r="H35" s="88"/>
      <c r="J35" s="267">
        <f>B31-J32-J33-J34</f>
        <v>1.6007106751203537E-9</v>
      </c>
    </row>
    <row r="36" spans="1:11" ht="18" customHeight="1" x14ac:dyDescent="0.2">
      <c r="A36" s="150" t="s">
        <v>22</v>
      </c>
      <c r="B36" s="200">
        <v>86837.462830000004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18907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16364185.003918042</v>
      </c>
      <c r="C40" s="249">
        <f>B32-B40-J34</f>
        <v>-4.2171450331807137E-8</v>
      </c>
      <c r="D40" s="259">
        <v>16364185.003918</v>
      </c>
      <c r="E40" s="249">
        <f>B40-D40</f>
        <v>4.2840838432312012E-8</v>
      </c>
    </row>
    <row r="41" spans="1:11" hidden="1" x14ac:dyDescent="0.2">
      <c r="A41" s="255" t="s">
        <v>49</v>
      </c>
      <c r="B41" s="249">
        <v>346988.70077600004</v>
      </c>
      <c r="C41" s="249">
        <f>B33-B41</f>
        <v>0</v>
      </c>
      <c r="D41" s="259">
        <v>346988.70077599998</v>
      </c>
      <c r="E41" s="249">
        <f>B41-D41</f>
        <v>0</v>
      </c>
    </row>
    <row r="42" spans="1:11" hidden="1" x14ac:dyDescent="0.2">
      <c r="A42" s="255" t="s">
        <v>24</v>
      </c>
      <c r="B42" s="249">
        <v>614344.76320000167</v>
      </c>
      <c r="C42" s="249">
        <f t="shared" ref="C42:C45" si="6">B34-B42</f>
        <v>-1.6298145055770874E-9</v>
      </c>
      <c r="D42" s="266">
        <v>614344.76320000004</v>
      </c>
      <c r="E42" s="249">
        <f>B42-D42</f>
        <v>1.6298145055770874E-9</v>
      </c>
    </row>
    <row r="43" spans="1:11" hidden="1" x14ac:dyDescent="0.2">
      <c r="A43" s="255" t="s">
        <v>20</v>
      </c>
      <c r="B43" s="249">
        <v>101399.3575</v>
      </c>
      <c r="C43" s="249">
        <f t="shared" si="6"/>
        <v>0</v>
      </c>
      <c r="D43" s="259">
        <v>101399.3575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86837.462830000019</v>
      </c>
      <c r="C44" s="249">
        <f t="shared" si="6"/>
        <v>0</v>
      </c>
      <c r="D44" s="259">
        <v>86837.462830000004</v>
      </c>
      <c r="E44" s="249">
        <f>B44-D44</f>
        <v>0</v>
      </c>
    </row>
    <row r="45" spans="1:11" hidden="1" x14ac:dyDescent="0.2">
      <c r="A45" s="255" t="s">
        <v>42</v>
      </c>
      <c r="B45" s="249">
        <v>18907.000000000004</v>
      </c>
      <c r="C45" s="249">
        <f t="shared" si="6"/>
        <v>0</v>
      </c>
      <c r="D45" s="259">
        <v>18907</v>
      </c>
      <c r="E45" s="249">
        <f t="shared" si="7"/>
        <v>0</v>
      </c>
    </row>
    <row r="46" spans="1:11" hidden="1" x14ac:dyDescent="0.2">
      <c r="B46" s="249">
        <f>SUM(B41:B45)</f>
        <v>1168477.2843060018</v>
      </c>
      <c r="C46" s="249">
        <f>SUM(C40:C45)</f>
        <v>-4.3801264837384224E-8</v>
      </c>
      <c r="D46" s="259">
        <f>SUM(D41:D45)</f>
        <v>1168477.284306</v>
      </c>
      <c r="E46" s="249">
        <f>SUM(E40:E45)</f>
        <v>4.4470652937889099E-8</v>
      </c>
    </row>
    <row r="47" spans="1:11" hidden="1" x14ac:dyDescent="0.2">
      <c r="B47" s="267">
        <f>B46+B40+J34-B32</f>
        <v>1168477.2843060456</v>
      </c>
      <c r="C47" s="249"/>
      <c r="D47" s="259">
        <f>D46+D40</f>
        <v>17532662.288224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A7FB-8C6D-433D-AEA8-E481637A7565}">
  <sheetPr>
    <tabColor rgb="FFCCFFFF"/>
    <pageSetUpPr fitToPage="1"/>
  </sheetPr>
  <dimension ref="A1:R54"/>
  <sheetViews>
    <sheetView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45078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3756354.362377</v>
      </c>
      <c r="C6" s="135">
        <f>SUM(C7:C10)</f>
        <v>53635.98</v>
      </c>
      <c r="D6" s="135">
        <f t="shared" ref="D6:H6" si="0">SUM(D7:D10)</f>
        <v>53592.649236999998</v>
      </c>
      <c r="E6" s="135">
        <f t="shared" si="0"/>
        <v>258739.36</v>
      </c>
      <c r="F6" s="135">
        <f t="shared" si="0"/>
        <v>1560675.57094</v>
      </c>
      <c r="G6" s="135">
        <f t="shared" si="0"/>
        <v>0</v>
      </c>
      <c r="H6" s="137">
        <f t="shared" si="0"/>
        <v>1829710.8022</v>
      </c>
      <c r="J6" s="270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3616354.4823770002</v>
      </c>
      <c r="C7" s="152">
        <v>0</v>
      </c>
      <c r="D7" s="152">
        <v>53592.649236999998</v>
      </c>
      <c r="E7" s="152">
        <v>258739.36</v>
      </c>
      <c r="F7" s="152">
        <v>1555146.6709400001</v>
      </c>
      <c r="G7" s="152">
        <v>0</v>
      </c>
      <c r="H7" s="196">
        <v>1748875.8022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83671.899999999994</v>
      </c>
      <c r="C8" s="152">
        <v>0</v>
      </c>
      <c r="D8" s="152">
        <v>0</v>
      </c>
      <c r="E8" s="152">
        <v>0</v>
      </c>
      <c r="F8" s="152">
        <v>5528.9</v>
      </c>
      <c r="G8" s="152">
        <v>0</v>
      </c>
      <c r="H8" s="196">
        <v>78143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2692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2692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53635.98</v>
      </c>
      <c r="C10" s="152">
        <v>53635.98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8688</v>
      </c>
      <c r="N10" s="75">
        <v>3798</v>
      </c>
      <c r="O10" s="75"/>
      <c r="P10" s="75"/>
      <c r="Q10" s="190">
        <v>12486</v>
      </c>
    </row>
    <row r="11" spans="1:18" ht="18" customHeight="1" x14ac:dyDescent="0.2">
      <c r="A11" s="176" t="s">
        <v>9</v>
      </c>
      <c r="B11" s="165">
        <f t="shared" si="1"/>
        <v>36560511.263999999</v>
      </c>
      <c r="C11" s="135">
        <f>SUM(C12:C15)</f>
        <v>150829.5772</v>
      </c>
      <c r="D11" s="135">
        <f t="shared" ref="D11:H11" si="2">SUM(D12:D15)</f>
        <v>599985.80000000005</v>
      </c>
      <c r="E11" s="135">
        <f t="shared" si="2"/>
        <v>130734</v>
      </c>
      <c r="F11" s="135">
        <f t="shared" si="2"/>
        <v>2921815.2905999999</v>
      </c>
      <c r="G11" s="135">
        <f t="shared" si="2"/>
        <v>1400</v>
      </c>
      <c r="H11" s="137">
        <f t="shared" si="2"/>
        <v>32755746.5962</v>
      </c>
      <c r="J11" s="268" t="s">
        <v>1</v>
      </c>
      <c r="K11" s="191">
        <v>0</v>
      </c>
      <c r="L11" s="191">
        <v>0</v>
      </c>
      <c r="M11" s="191">
        <v>8688</v>
      </c>
      <c r="N11" s="191">
        <v>3798</v>
      </c>
      <c r="O11" s="191">
        <v>0</v>
      </c>
      <c r="P11" s="191">
        <v>0</v>
      </c>
      <c r="Q11" s="191">
        <v>12486</v>
      </c>
    </row>
    <row r="12" spans="1:18" ht="18" customHeight="1" x14ac:dyDescent="0.2">
      <c r="A12" s="173" t="s">
        <v>46</v>
      </c>
      <c r="B12" s="166">
        <f t="shared" si="1"/>
        <v>35018299.686800003</v>
      </c>
      <c r="C12" s="152">
        <v>0</v>
      </c>
      <c r="D12" s="152">
        <v>599985.80000000005</v>
      </c>
      <c r="E12" s="152">
        <v>130734</v>
      </c>
      <c r="F12" s="152">
        <v>2870013.2905999999</v>
      </c>
      <c r="G12" s="152">
        <v>1400</v>
      </c>
      <c r="H12" s="196">
        <v>31416166.5962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1300942</v>
      </c>
      <c r="C13" s="152">
        <v>0</v>
      </c>
      <c r="D13" s="152">
        <v>0</v>
      </c>
      <c r="E13" s="152">
        <v>0</v>
      </c>
      <c r="F13" s="152">
        <v>51802</v>
      </c>
      <c r="G13" s="152">
        <v>0</v>
      </c>
      <c r="H13" s="196">
        <v>1249140</v>
      </c>
      <c r="J13" s="269" t="s">
        <v>39</v>
      </c>
      <c r="K13" s="194">
        <v>0</v>
      </c>
      <c r="L13" s="194">
        <v>0</v>
      </c>
      <c r="M13" s="194">
        <v>8688</v>
      </c>
      <c r="N13" s="194">
        <v>3798</v>
      </c>
      <c r="O13" s="194">
        <v>0</v>
      </c>
      <c r="P13" s="194">
        <v>0</v>
      </c>
      <c r="Q13" s="195">
        <v>12486</v>
      </c>
      <c r="R13" s="105"/>
    </row>
    <row r="14" spans="1:18" ht="24" customHeight="1" x14ac:dyDescent="0.2">
      <c r="A14" s="177" t="s">
        <v>48</v>
      </c>
      <c r="B14" s="166">
        <f t="shared" si="1"/>
        <v>90440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90440</v>
      </c>
      <c r="Q14" s="32"/>
    </row>
    <row r="15" spans="1:18" ht="18" customHeight="1" x14ac:dyDescent="0.2">
      <c r="A15" s="173" t="s">
        <v>45</v>
      </c>
      <c r="B15" s="166">
        <f t="shared" si="1"/>
        <v>150829.5772</v>
      </c>
      <c r="C15" s="152">
        <v>150829.5772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41167063.505626999</v>
      </c>
      <c r="C16" s="135">
        <f>SUM(C17:C20)</f>
        <v>1622050.7294749999</v>
      </c>
      <c r="D16" s="135">
        <f t="shared" ref="D16:H16" si="3">SUM(D17:D20)</f>
        <v>9517083.2551300004</v>
      </c>
      <c r="E16" s="135">
        <f t="shared" si="3"/>
        <v>2849923.4950970002</v>
      </c>
      <c r="F16" s="135">
        <f t="shared" si="3"/>
        <v>19423571.736356001</v>
      </c>
      <c r="G16" s="135">
        <f t="shared" si="3"/>
        <v>157236.400234</v>
      </c>
      <c r="H16" s="137">
        <f t="shared" si="3"/>
        <v>7597197.889335</v>
      </c>
    </row>
    <row r="17" spans="1:14" ht="18" customHeight="1" x14ac:dyDescent="0.2">
      <c r="A17" s="173" t="s">
        <v>46</v>
      </c>
      <c r="B17" s="166">
        <f t="shared" si="1"/>
        <v>38839603.812283002</v>
      </c>
      <c r="C17" s="152">
        <v>0</v>
      </c>
      <c r="D17" s="152">
        <v>9517083.2551300004</v>
      </c>
      <c r="E17" s="152">
        <v>2845245.5175680001</v>
      </c>
      <c r="F17" s="152">
        <v>19080994.330731001</v>
      </c>
      <c r="G17" s="152">
        <v>157236.400234</v>
      </c>
      <c r="H17" s="196">
        <f>7251530.30862-12486</f>
        <v>7239044.3086200003</v>
      </c>
      <c r="I17" s="11"/>
    </row>
    <row r="18" spans="1:14" ht="24" customHeight="1" x14ac:dyDescent="0.2">
      <c r="A18" s="177" t="s">
        <v>47</v>
      </c>
      <c r="B18" s="166">
        <f t="shared" si="1"/>
        <v>640323.56386900006</v>
      </c>
      <c r="C18" s="152">
        <v>0</v>
      </c>
      <c r="D18" s="152">
        <v>0</v>
      </c>
      <c r="E18" s="152">
        <v>4677.9775289999998</v>
      </c>
      <c r="F18" s="152">
        <v>303499.60562500003</v>
      </c>
      <c r="G18" s="152">
        <v>0</v>
      </c>
      <c r="H18" s="196">
        <v>332145.98071500001</v>
      </c>
      <c r="J18" s="212"/>
    </row>
    <row r="19" spans="1:14" ht="24" customHeight="1" x14ac:dyDescent="0.2">
      <c r="A19" s="177" t="s">
        <v>48</v>
      </c>
      <c r="B19" s="166">
        <f t="shared" si="1"/>
        <v>65085.4</v>
      </c>
      <c r="C19" s="152">
        <v>0</v>
      </c>
      <c r="D19" s="152">
        <v>0</v>
      </c>
      <c r="E19" s="152">
        <v>0</v>
      </c>
      <c r="F19" s="152">
        <v>39077.800000000003</v>
      </c>
      <c r="G19" s="152">
        <v>0</v>
      </c>
      <c r="H19" s="196">
        <v>26007.599999999999</v>
      </c>
      <c r="J19" s="212"/>
    </row>
    <row r="20" spans="1:14" ht="18" customHeight="1" x14ac:dyDescent="0.2">
      <c r="A20" s="173" t="s">
        <v>45</v>
      </c>
      <c r="B20" s="166">
        <f t="shared" si="1"/>
        <v>1622050.7294749999</v>
      </c>
      <c r="C20" s="152">
        <v>1622050.7294749999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81483929.132003993</v>
      </c>
      <c r="C21" s="135">
        <f>C6+C11+C16</f>
        <v>1826516.2866749999</v>
      </c>
      <c r="D21" s="135">
        <f t="shared" ref="D21:H21" si="4">D6+D11+D16</f>
        <v>10170661.704367001</v>
      </c>
      <c r="E21" s="135">
        <f t="shared" si="4"/>
        <v>3239396.855097</v>
      </c>
      <c r="F21" s="135">
        <f t="shared" si="4"/>
        <v>23906062.597896002</v>
      </c>
      <c r="G21" s="135">
        <f t="shared" si="4"/>
        <v>158636.400234</v>
      </c>
      <c r="H21" s="137">
        <f t="shared" si="4"/>
        <v>42182655.287735</v>
      </c>
      <c r="J21" s="249">
        <v>81496415.132003978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3124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8.4933100539999984</v>
      </c>
      <c r="C25" s="144">
        <f>SUM(C26:C29)</f>
        <v>2.330748963</v>
      </c>
      <c r="D25" s="144">
        <f t="shared" ref="D25:H25" si="5">SUM(D26:D29)</f>
        <v>0.34684785499999998</v>
      </c>
      <c r="E25" s="144">
        <f t="shared" si="5"/>
        <v>2.7683859999999999E-3</v>
      </c>
      <c r="F25" s="144">
        <f t="shared" si="5"/>
        <v>5.4285342889999999</v>
      </c>
      <c r="G25" s="144">
        <f t="shared" si="5"/>
        <v>0.12090142199999999</v>
      </c>
      <c r="H25" s="145">
        <f t="shared" si="5"/>
        <v>0.263509139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2.330748963</v>
      </c>
      <c r="C26" s="169">
        <v>2.330748963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2.330748963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6.1425555139999997</v>
      </c>
      <c r="C27" s="169">
        <v>0</v>
      </c>
      <c r="D27" s="169">
        <v>0.34684785499999998</v>
      </c>
      <c r="E27" s="169">
        <v>2.7683859999999999E-3</v>
      </c>
      <c r="F27" s="169">
        <v>5.4197698369999996</v>
      </c>
      <c r="G27" s="169">
        <v>0.12090142199999999</v>
      </c>
      <c r="H27" s="180">
        <v>0.25226801399999998</v>
      </c>
      <c r="J27" s="251">
        <v>6.1625610909999997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2.0005577E-2</v>
      </c>
      <c r="C28" s="169">
        <v>0</v>
      </c>
      <c r="D28" s="169">
        <v>0</v>
      </c>
      <c r="E28" s="169">
        <v>0</v>
      </c>
      <c r="F28" s="169">
        <v>8.7644520000000007E-3</v>
      </c>
      <c r="G28" s="169">
        <v>0</v>
      </c>
      <c r="H28" s="180">
        <v>1.1241124999999999E-2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15487961.682446001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f>14203728.992175+9</f>
        <v>14203737.992175</v>
      </c>
      <c r="C32" s="60"/>
      <c r="D32" s="236"/>
      <c r="E32" s="60"/>
      <c r="F32" s="60"/>
      <c r="G32" s="60"/>
      <c r="H32" s="88"/>
      <c r="J32" s="249">
        <f>D40</f>
        <v>14133886.862174962</v>
      </c>
      <c r="K32" s="257" t="s">
        <v>61</v>
      </c>
    </row>
    <row r="33" spans="1:11" ht="24" customHeight="1" x14ac:dyDescent="0.2">
      <c r="A33" s="148" t="s">
        <v>49</v>
      </c>
      <c r="B33" s="200">
        <v>332172.45312800002</v>
      </c>
      <c r="C33" s="61"/>
      <c r="D33" s="236"/>
      <c r="E33" s="60"/>
      <c r="F33" s="60"/>
      <c r="G33" s="60"/>
      <c r="H33" s="88"/>
      <c r="J33" s="249">
        <f>D46</f>
        <v>1284223.690270999</v>
      </c>
      <c r="K33" s="257" t="s">
        <v>60</v>
      </c>
    </row>
    <row r="34" spans="1:11" ht="18" customHeight="1" x14ac:dyDescent="0.2">
      <c r="A34" s="149" t="s">
        <v>24</v>
      </c>
      <c r="B34" s="200">
        <v>898164.89087999996</v>
      </c>
      <c r="C34" s="61"/>
      <c r="D34" s="236"/>
      <c r="E34" s="60"/>
      <c r="F34" s="60"/>
      <c r="G34" s="60"/>
      <c r="H34" s="88"/>
      <c r="J34" s="249">
        <v>69851.13</v>
      </c>
      <c r="K34" s="257" t="s">
        <v>62</v>
      </c>
    </row>
    <row r="35" spans="1:11" ht="18" customHeight="1" x14ac:dyDescent="0.2">
      <c r="A35" s="150" t="s">
        <v>20</v>
      </c>
      <c r="B35" s="200">
        <v>14501.405500000001</v>
      </c>
      <c r="C35" s="61"/>
      <c r="D35" s="236"/>
      <c r="E35" s="60"/>
      <c r="F35" s="60"/>
      <c r="G35" s="60"/>
      <c r="H35" s="88"/>
      <c r="J35" s="267">
        <f>B31-J32-J33-J34</f>
        <v>4.0396116673946381E-8</v>
      </c>
    </row>
    <row r="36" spans="1:11" ht="18" customHeight="1" x14ac:dyDescent="0.2">
      <c r="A36" s="150" t="s">
        <v>22</v>
      </c>
      <c r="B36" s="200">
        <v>16523.100762999999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22861.84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14133886.862174962</v>
      </c>
      <c r="C40" s="249">
        <f>B32-B40-J34</f>
        <v>3.8067810237407684E-8</v>
      </c>
      <c r="D40" s="266">
        <v>14133886.862174962</v>
      </c>
      <c r="E40" s="249">
        <f>B40-D40</f>
        <v>0</v>
      </c>
    </row>
    <row r="41" spans="1:11" hidden="1" x14ac:dyDescent="0.2">
      <c r="A41" s="255" t="s">
        <v>49</v>
      </c>
      <c r="B41" s="249">
        <v>332172.45312800002</v>
      </c>
      <c r="C41" s="249">
        <f>B33-B41</f>
        <v>0</v>
      </c>
      <c r="D41" s="266">
        <v>332172.45312800002</v>
      </c>
      <c r="E41" s="249">
        <f>B41-D41</f>
        <v>0</v>
      </c>
    </row>
    <row r="42" spans="1:11" hidden="1" x14ac:dyDescent="0.2">
      <c r="A42" s="255" t="s">
        <v>24</v>
      </c>
      <c r="B42" s="249">
        <v>898164.89087999891</v>
      </c>
      <c r="C42" s="249">
        <f t="shared" ref="C42:C45" si="6">B34-B42</f>
        <v>1.0477378964424133E-9</v>
      </c>
      <c r="D42" s="266">
        <v>898164.89087999891</v>
      </c>
      <c r="E42" s="249">
        <f>B42-D42</f>
        <v>0</v>
      </c>
    </row>
    <row r="43" spans="1:11" hidden="1" x14ac:dyDescent="0.2">
      <c r="A43" s="255" t="s">
        <v>20</v>
      </c>
      <c r="B43" s="249">
        <v>14501.405499999997</v>
      </c>
      <c r="C43" s="249">
        <f t="shared" si="6"/>
        <v>0</v>
      </c>
      <c r="D43" s="266">
        <v>14501.405500000001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16523.100762999893</v>
      </c>
      <c r="C44" s="249">
        <f t="shared" si="6"/>
        <v>1.0550138540565968E-10</v>
      </c>
      <c r="D44" s="266">
        <v>16523.100762999893</v>
      </c>
      <c r="E44" s="249">
        <f>B44-D44</f>
        <v>0</v>
      </c>
    </row>
    <row r="45" spans="1:11" hidden="1" x14ac:dyDescent="0.2">
      <c r="A45" s="255" t="s">
        <v>42</v>
      </c>
      <c r="B45" s="249">
        <v>22861.84</v>
      </c>
      <c r="C45" s="249">
        <f t="shared" si="6"/>
        <v>0</v>
      </c>
      <c r="D45" s="266">
        <v>22861.84</v>
      </c>
      <c r="E45" s="249">
        <f t="shared" si="7"/>
        <v>0</v>
      </c>
    </row>
    <row r="46" spans="1:11" hidden="1" x14ac:dyDescent="0.2">
      <c r="B46" s="249">
        <f>SUM(B41:B45)</f>
        <v>1284223.690270999</v>
      </c>
      <c r="C46" s="249">
        <f>SUM(C40:C45)</f>
        <v>3.9221049519255757E-8</v>
      </c>
      <c r="D46" s="259">
        <f>SUM(D41:D45)</f>
        <v>1284223.690270999</v>
      </c>
      <c r="E46" s="249">
        <f>SUM(E40:E45)</f>
        <v>0</v>
      </c>
    </row>
    <row r="47" spans="1:11" hidden="1" x14ac:dyDescent="0.2">
      <c r="B47" s="267">
        <f>B46+B40+J34-B32</f>
        <v>1284223.6902709622</v>
      </c>
      <c r="C47" s="249"/>
      <c r="D47" s="259">
        <f>D46+D40</f>
        <v>15418110.552445961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4AE9-1BBB-4754-8A6F-67F705214B16}">
  <sheetPr>
    <tabColor rgb="FFCCFFFF"/>
    <pageSetUpPr fitToPage="1"/>
  </sheetPr>
  <dimension ref="A1:R51"/>
  <sheetViews>
    <sheetView zoomScale="87" zoomScaleNormal="87" workbookViewId="0">
      <selection activeCell="V14" sqref="V1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45108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3457546.5709300004</v>
      </c>
      <c r="C6" s="135">
        <f>SUM(C7:C10)</f>
        <v>59587.360000000001</v>
      </c>
      <c r="D6" s="135">
        <f t="shared" ref="D6:H6" si="0">SUM(D7:D10)</f>
        <v>56606.430269999997</v>
      </c>
      <c r="E6" s="135">
        <f t="shared" si="0"/>
        <v>283468.56</v>
      </c>
      <c r="F6" s="135">
        <f t="shared" si="0"/>
        <v>1508863.9229600001</v>
      </c>
      <c r="G6" s="135">
        <f t="shared" si="0"/>
        <v>0</v>
      </c>
      <c r="H6" s="137">
        <f t="shared" si="0"/>
        <v>1549020.2977</v>
      </c>
      <c r="J6" s="270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3295525.11093</v>
      </c>
      <c r="C7" s="152">
        <v>0</v>
      </c>
      <c r="D7" s="152">
        <v>56606.430269999997</v>
      </c>
      <c r="E7" s="152">
        <v>283468.56</v>
      </c>
      <c r="F7" s="152">
        <v>1486571.82296</v>
      </c>
      <c r="G7" s="152">
        <v>0</v>
      </c>
      <c r="H7" s="196">
        <v>1468878.2977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100228.1</v>
      </c>
      <c r="C8" s="152">
        <v>0</v>
      </c>
      <c r="D8" s="152">
        <v>0</v>
      </c>
      <c r="E8" s="152">
        <v>0</v>
      </c>
      <c r="F8" s="152">
        <v>22292.1</v>
      </c>
      <c r="G8" s="152">
        <v>0</v>
      </c>
      <c r="H8" s="196">
        <v>77936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2206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2206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59587.360000000001</v>
      </c>
      <c r="C10" s="152">
        <v>59587.360000000001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10332.000000000016</v>
      </c>
      <c r="N10" s="75">
        <v>3478</v>
      </c>
      <c r="O10" s="75"/>
      <c r="P10" s="75"/>
      <c r="Q10" s="190">
        <v>13810.000000000016</v>
      </c>
    </row>
    <row r="11" spans="1:18" ht="18" customHeight="1" x14ac:dyDescent="0.2">
      <c r="A11" s="176" t="s">
        <v>9</v>
      </c>
      <c r="B11" s="165">
        <f t="shared" si="1"/>
        <v>34929555.125600003</v>
      </c>
      <c r="C11" s="135">
        <f>SUM(C12:C15)</f>
        <v>160379.56</v>
      </c>
      <c r="D11" s="135">
        <f t="shared" ref="D11:H11" si="2">SUM(D12:D15)</f>
        <v>527760</v>
      </c>
      <c r="E11" s="135">
        <f t="shared" si="2"/>
        <v>97071</v>
      </c>
      <c r="F11" s="135">
        <f t="shared" si="2"/>
        <v>2771715.3366</v>
      </c>
      <c r="G11" s="135">
        <f t="shared" si="2"/>
        <v>2160</v>
      </c>
      <c r="H11" s="137">
        <f t="shared" si="2"/>
        <v>31370469.229000002</v>
      </c>
      <c r="J11" s="268" t="s">
        <v>1</v>
      </c>
      <c r="K11" s="191">
        <v>0</v>
      </c>
      <c r="L11" s="191">
        <v>0</v>
      </c>
      <c r="M11" s="191">
        <v>10332.000000000016</v>
      </c>
      <c r="N11" s="191">
        <v>3478</v>
      </c>
      <c r="O11" s="191">
        <v>0</v>
      </c>
      <c r="P11" s="191">
        <v>0</v>
      </c>
      <c r="Q11" s="191">
        <v>13810.000000000016</v>
      </c>
    </row>
    <row r="12" spans="1:18" ht="18" customHeight="1" x14ac:dyDescent="0.2">
      <c r="A12" s="173" t="s">
        <v>46</v>
      </c>
      <c r="B12" s="166">
        <f t="shared" si="1"/>
        <v>33383316.9256</v>
      </c>
      <c r="C12" s="152">
        <v>0</v>
      </c>
      <c r="D12" s="152">
        <v>527760</v>
      </c>
      <c r="E12" s="152">
        <v>97071</v>
      </c>
      <c r="F12" s="152">
        <v>2719163.3366</v>
      </c>
      <c r="G12" s="152">
        <v>2160</v>
      </c>
      <c r="H12" s="196">
        <v>30037162.589000002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1304295.97</v>
      </c>
      <c r="C13" s="152">
        <v>0</v>
      </c>
      <c r="D13" s="152">
        <v>0</v>
      </c>
      <c r="E13" s="152">
        <v>0</v>
      </c>
      <c r="F13" s="152">
        <v>52552</v>
      </c>
      <c r="G13" s="152">
        <v>0</v>
      </c>
      <c r="H13" s="196">
        <v>1251743.97</v>
      </c>
      <c r="J13" s="269" t="s">
        <v>39</v>
      </c>
      <c r="K13" s="194">
        <v>0</v>
      </c>
      <c r="L13" s="194">
        <v>0</v>
      </c>
      <c r="M13" s="194">
        <v>10332.000000000016</v>
      </c>
      <c r="N13" s="194">
        <v>3478</v>
      </c>
      <c r="O13" s="194">
        <v>0</v>
      </c>
      <c r="P13" s="194">
        <v>0</v>
      </c>
      <c r="Q13" s="195">
        <v>13810.000000000016</v>
      </c>
      <c r="R13" s="105"/>
    </row>
    <row r="14" spans="1:18" ht="24" customHeight="1" x14ac:dyDescent="0.2">
      <c r="A14" s="177" t="s">
        <v>48</v>
      </c>
      <c r="B14" s="166">
        <f t="shared" si="1"/>
        <v>81562.67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81562.67</v>
      </c>
      <c r="Q14" s="32"/>
    </row>
    <row r="15" spans="1:18" ht="18" customHeight="1" x14ac:dyDescent="0.2">
      <c r="A15" s="173" t="s">
        <v>45</v>
      </c>
      <c r="B15" s="166">
        <f t="shared" si="1"/>
        <v>160379.56</v>
      </c>
      <c r="C15" s="152">
        <v>160379.56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41486580.552444004</v>
      </c>
      <c r="C16" s="135">
        <f>SUM(C17:C20)</f>
        <v>1800438.161085</v>
      </c>
      <c r="D16" s="135">
        <f t="shared" ref="D16:H16" si="3">SUM(D17:D20)</f>
        <v>9163129.1100910008</v>
      </c>
      <c r="E16" s="135">
        <f t="shared" si="3"/>
        <v>2281349.4129240001</v>
      </c>
      <c r="F16" s="135">
        <f t="shared" si="3"/>
        <v>20329792.335914999</v>
      </c>
      <c r="G16" s="135">
        <f t="shared" si="3"/>
        <v>174485.13550900001</v>
      </c>
      <c r="H16" s="137">
        <f t="shared" si="3"/>
        <v>7737386.3969200002</v>
      </c>
    </row>
    <row r="17" spans="1:14" ht="18" customHeight="1" x14ac:dyDescent="0.2">
      <c r="A17" s="173" t="s">
        <v>46</v>
      </c>
      <c r="B17" s="166">
        <f t="shared" si="1"/>
        <v>38977343.227350995</v>
      </c>
      <c r="C17" s="152">
        <v>0</v>
      </c>
      <c r="D17" s="152">
        <v>9163129.1100910008</v>
      </c>
      <c r="E17" s="152">
        <v>2279759.7009669999</v>
      </c>
      <c r="F17" s="152">
        <v>19982845.789455999</v>
      </c>
      <c r="G17" s="152">
        <v>174485.13550900001</v>
      </c>
      <c r="H17" s="196">
        <f>7390933.491328-13810</f>
        <v>7377123.4913280001</v>
      </c>
      <c r="I17" s="11"/>
    </row>
    <row r="18" spans="1:14" ht="24" customHeight="1" x14ac:dyDescent="0.2">
      <c r="A18" s="177" t="s">
        <v>47</v>
      </c>
      <c r="B18" s="166">
        <f t="shared" si="1"/>
        <v>649658.60400799999</v>
      </c>
      <c r="C18" s="152">
        <v>0</v>
      </c>
      <c r="D18" s="152">
        <v>0</v>
      </c>
      <c r="E18" s="152">
        <v>1589.711957</v>
      </c>
      <c r="F18" s="152">
        <v>312635.946459</v>
      </c>
      <c r="G18" s="152">
        <v>0</v>
      </c>
      <c r="H18" s="196">
        <v>335432.94559199997</v>
      </c>
      <c r="J18" s="212"/>
    </row>
    <row r="19" spans="1:14" ht="24" customHeight="1" x14ac:dyDescent="0.2">
      <c r="A19" s="177" t="s">
        <v>48</v>
      </c>
      <c r="B19" s="166">
        <f t="shared" si="1"/>
        <v>59140.56</v>
      </c>
      <c r="C19" s="152">
        <v>0</v>
      </c>
      <c r="D19" s="152">
        <v>0</v>
      </c>
      <c r="E19" s="152">
        <v>0</v>
      </c>
      <c r="F19" s="152">
        <v>34310.6</v>
      </c>
      <c r="G19" s="152">
        <v>0</v>
      </c>
      <c r="H19" s="196">
        <v>24829.96</v>
      </c>
      <c r="J19" s="212"/>
    </row>
    <row r="20" spans="1:14" ht="18" customHeight="1" x14ac:dyDescent="0.2">
      <c r="A20" s="173" t="s">
        <v>45</v>
      </c>
      <c r="B20" s="166">
        <f t="shared" si="1"/>
        <v>1800438.161085</v>
      </c>
      <c r="C20" s="152">
        <v>1800438.161085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79873682.248973995</v>
      </c>
      <c r="C21" s="135">
        <f>C6+C11+C16</f>
        <v>2020405.081085</v>
      </c>
      <c r="D21" s="135">
        <f t="shared" ref="D21:H21" si="4">D6+D11+D16</f>
        <v>9747495.5403610002</v>
      </c>
      <c r="E21" s="135">
        <f t="shared" si="4"/>
        <v>2661888.9729240001</v>
      </c>
      <c r="F21" s="135">
        <f t="shared" si="4"/>
        <v>24610371.595474999</v>
      </c>
      <c r="G21" s="135">
        <f t="shared" si="4"/>
        <v>176645.13550900001</v>
      </c>
      <c r="H21" s="137">
        <f t="shared" si="4"/>
        <v>40656875.92362</v>
      </c>
      <c r="J21" s="249">
        <v>79887492.248973995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1.6370904631912708E-11</v>
      </c>
      <c r="K22" s="255"/>
    </row>
    <row r="23" spans="1:14" ht="18" customHeight="1" thickBot="1" x14ac:dyDescent="0.25">
      <c r="A23" s="185" t="s">
        <v>14</v>
      </c>
      <c r="B23" s="214">
        <v>2996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8.7135046390000017</v>
      </c>
      <c r="C25" s="144">
        <f>SUM(C26:C29)</f>
        <v>2.4446473819999999</v>
      </c>
      <c r="D25" s="144">
        <f t="shared" ref="D25:H25" si="5">SUM(D26:D29)</f>
        <v>0.35497223300000003</v>
      </c>
      <c r="E25" s="144">
        <f t="shared" si="5"/>
        <v>2.9450069999999999E-3</v>
      </c>
      <c r="F25" s="144">
        <f t="shared" si="5"/>
        <v>5.431483504</v>
      </c>
      <c r="G25" s="144">
        <f t="shared" si="5"/>
        <v>0.191803996</v>
      </c>
      <c r="H25" s="145">
        <f t="shared" si="5"/>
        <v>0.287652517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2.4446473819999999</v>
      </c>
      <c r="C26" s="169">
        <v>2.4446473819999999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2.4446473819999999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6.247789311</v>
      </c>
      <c r="C27" s="169">
        <v>0</v>
      </c>
      <c r="D27" s="169">
        <v>0.35497223300000003</v>
      </c>
      <c r="E27" s="169">
        <v>2.9450069999999999E-3</v>
      </c>
      <c r="F27" s="169">
        <v>5.4219090310000002</v>
      </c>
      <c r="G27" s="169">
        <v>0.191803996</v>
      </c>
      <c r="H27" s="180">
        <v>0.27615904400000002</v>
      </c>
      <c r="J27" s="251">
        <v>6.2688572569999996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2.1067946000000001E-2</v>
      </c>
      <c r="C28" s="169">
        <v>0</v>
      </c>
      <c r="D28" s="169">
        <v>0</v>
      </c>
      <c r="E28" s="169">
        <v>0</v>
      </c>
      <c r="F28" s="169">
        <v>9.574473E-3</v>
      </c>
      <c r="G28" s="169">
        <v>0</v>
      </c>
      <c r="H28" s="180">
        <v>1.1493473000000001E-2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21178408.443394005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19623285.614282999</v>
      </c>
      <c r="C32" s="60"/>
      <c r="D32" s="236"/>
      <c r="E32" s="60"/>
      <c r="F32" s="60"/>
      <c r="G32" s="60"/>
      <c r="H32" s="88"/>
      <c r="J32" s="249">
        <f>D40</f>
        <v>19588097.604283001</v>
      </c>
      <c r="K32" s="257" t="s">
        <v>61</v>
      </c>
    </row>
    <row r="33" spans="1:11" ht="24" customHeight="1" x14ac:dyDescent="0.2">
      <c r="A33" s="148" t="s">
        <v>49</v>
      </c>
      <c r="B33" s="200">
        <v>336037.79677100002</v>
      </c>
      <c r="C33" s="61"/>
      <c r="D33" s="236"/>
      <c r="E33" s="60"/>
      <c r="F33" s="60"/>
      <c r="G33" s="60"/>
      <c r="H33" s="88"/>
      <c r="J33" s="249">
        <f>D46</f>
        <v>1555122.8291110001</v>
      </c>
      <c r="K33" s="257" t="s">
        <v>60</v>
      </c>
    </row>
    <row r="34" spans="1:11" ht="18" customHeight="1" x14ac:dyDescent="0.2">
      <c r="A34" s="149" t="s">
        <v>24</v>
      </c>
      <c r="B34" s="200">
        <v>930998.14410999999</v>
      </c>
      <c r="C34" s="61"/>
      <c r="D34" s="236"/>
      <c r="E34" s="60"/>
      <c r="F34" s="60"/>
      <c r="G34" s="60"/>
      <c r="H34" s="88"/>
      <c r="J34" s="249">
        <v>35188.009999999995</v>
      </c>
      <c r="K34" s="257" t="s">
        <v>62</v>
      </c>
    </row>
    <row r="35" spans="1:11" ht="18" customHeight="1" x14ac:dyDescent="0.2">
      <c r="A35" s="150" t="s">
        <v>20</v>
      </c>
      <c r="B35" s="200">
        <v>43094.842499999999</v>
      </c>
      <c r="C35" s="61"/>
      <c r="D35" s="236"/>
      <c r="E35" s="60"/>
      <c r="F35" s="60"/>
      <c r="G35" s="60"/>
      <c r="H35" s="88"/>
      <c r="J35" s="267">
        <f>B31-J32-J33-J34</f>
        <v>3.9726728573441505E-9</v>
      </c>
    </row>
    <row r="36" spans="1:11" ht="18" customHeight="1" x14ac:dyDescent="0.2">
      <c r="A36" s="150" t="s">
        <v>22</v>
      </c>
      <c r="B36" s="200">
        <v>209353.49573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35638.550000000003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19588097.604282998</v>
      </c>
      <c r="C40" s="249">
        <f>B32-B40-J34</f>
        <v>1.6443664208054543E-9</v>
      </c>
      <c r="D40" s="266">
        <v>19588097.604283001</v>
      </c>
      <c r="E40" s="249">
        <f>B40-D40</f>
        <v>0</v>
      </c>
    </row>
    <row r="41" spans="1:11" hidden="1" x14ac:dyDescent="0.2">
      <c r="A41" s="255" t="s">
        <v>49</v>
      </c>
      <c r="B41" s="249">
        <v>336037.79677099996</v>
      </c>
      <c r="C41" s="249">
        <f>B33-B41</f>
        <v>0</v>
      </c>
      <c r="D41" s="266">
        <v>336037.79677100002</v>
      </c>
      <c r="E41" s="249">
        <f>B41-D41</f>
        <v>0</v>
      </c>
    </row>
    <row r="42" spans="1:11" hidden="1" x14ac:dyDescent="0.2">
      <c r="A42" s="255" t="s">
        <v>24</v>
      </c>
      <c r="B42" s="249">
        <v>930998.14411000011</v>
      </c>
      <c r="C42" s="249">
        <f t="shared" ref="C42:C45" si="6">B34-B42</f>
        <v>0</v>
      </c>
      <c r="D42" s="266">
        <v>930998.14410999999</v>
      </c>
      <c r="E42" s="249">
        <f>B42-D42</f>
        <v>0</v>
      </c>
    </row>
    <row r="43" spans="1:11" hidden="1" x14ac:dyDescent="0.2">
      <c r="A43" s="255" t="s">
        <v>20</v>
      </c>
      <c r="B43" s="249">
        <v>43094.842499999999</v>
      </c>
      <c r="C43" s="249">
        <f t="shared" si="6"/>
        <v>0</v>
      </c>
      <c r="D43" s="266">
        <v>43094.842499999999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209353.49573000002</v>
      </c>
      <c r="C44" s="249">
        <f t="shared" si="6"/>
        <v>0</v>
      </c>
      <c r="D44" s="266">
        <v>209353.49573</v>
      </c>
      <c r="E44" s="249">
        <f>B44-D44</f>
        <v>0</v>
      </c>
    </row>
    <row r="45" spans="1:11" hidden="1" x14ac:dyDescent="0.2">
      <c r="A45" s="255" t="s">
        <v>42</v>
      </c>
      <c r="B45" s="249">
        <v>35638.550000000003</v>
      </c>
      <c r="C45" s="249">
        <f t="shared" si="6"/>
        <v>0</v>
      </c>
      <c r="D45" s="266">
        <v>35638.550000000003</v>
      </c>
      <c r="E45" s="249">
        <f t="shared" si="7"/>
        <v>0</v>
      </c>
    </row>
    <row r="46" spans="1:11" hidden="1" x14ac:dyDescent="0.2">
      <c r="B46" s="249">
        <f>SUM(B41:B45)</f>
        <v>1555122.8291110003</v>
      </c>
      <c r="C46" s="249">
        <f>SUM(C40:C45)</f>
        <v>1.6443664208054543E-9</v>
      </c>
      <c r="D46" s="259">
        <f>SUM(D41:D45)</f>
        <v>1555122.8291110001</v>
      </c>
      <c r="E46" s="249">
        <f>SUM(E40:E45)</f>
        <v>0</v>
      </c>
    </row>
    <row r="47" spans="1:11" hidden="1" x14ac:dyDescent="0.2">
      <c r="B47" s="267">
        <f>B46+B40+J34-B32</f>
        <v>1555122.8291109987</v>
      </c>
      <c r="C47" s="249"/>
      <c r="D47" s="259">
        <f>D46+D40</f>
        <v>21143220.433394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1160-2762-4290-AFEB-9CB7B399EE28}">
  <sheetPr>
    <tabColor rgb="FFCCFFFF"/>
    <pageSetUpPr fitToPage="1"/>
  </sheetPr>
  <dimension ref="A1:R54"/>
  <sheetViews>
    <sheetView zoomScale="87" zoomScaleNormal="87" workbookViewId="0">
      <selection activeCell="W17" sqref="W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45139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3462953.2944590002</v>
      </c>
      <c r="C6" s="135">
        <f>SUM(C7:C10)</f>
        <v>38393.65</v>
      </c>
      <c r="D6" s="135">
        <f t="shared" ref="D6:H6" si="0">SUM(D7:D10)</f>
        <v>63786.422759000001</v>
      </c>
      <c r="E6" s="135">
        <f t="shared" si="0"/>
        <v>231383.36</v>
      </c>
      <c r="F6" s="135">
        <f t="shared" si="0"/>
        <v>1573352.8215000001</v>
      </c>
      <c r="G6" s="135">
        <f t="shared" si="0"/>
        <v>0</v>
      </c>
      <c r="H6" s="137">
        <f t="shared" si="0"/>
        <v>1556037.0401999999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3337803.6444589999</v>
      </c>
      <c r="C7" s="152">
        <v>0</v>
      </c>
      <c r="D7" s="152">
        <v>63786.422759000001</v>
      </c>
      <c r="E7" s="152">
        <v>231383.36</v>
      </c>
      <c r="F7" s="152">
        <v>1564962.8215000001</v>
      </c>
      <c r="G7" s="152">
        <v>0</v>
      </c>
      <c r="H7" s="196">
        <v>1477671.0401999999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83912</v>
      </c>
      <c r="C8" s="152">
        <v>0</v>
      </c>
      <c r="D8" s="152">
        <v>0</v>
      </c>
      <c r="E8" s="152">
        <v>0</v>
      </c>
      <c r="F8" s="152">
        <v>8390</v>
      </c>
      <c r="G8" s="152">
        <v>0</v>
      </c>
      <c r="H8" s="196">
        <v>75522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2844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2844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38393.65</v>
      </c>
      <c r="C10" s="152">
        <v>38393.65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9246</v>
      </c>
      <c r="N10" s="75">
        <v>5023</v>
      </c>
      <c r="O10" s="75"/>
      <c r="P10" s="75"/>
      <c r="Q10" s="190">
        <v>14269</v>
      </c>
    </row>
    <row r="11" spans="1:18" ht="18" customHeight="1" x14ac:dyDescent="0.2">
      <c r="A11" s="176" t="s">
        <v>9</v>
      </c>
      <c r="B11" s="165">
        <f t="shared" si="1"/>
        <v>37649955.882800996</v>
      </c>
      <c r="C11" s="135">
        <f>SUM(C12:C15)</f>
        <v>195740.43</v>
      </c>
      <c r="D11" s="135">
        <f t="shared" ref="D11:H11" si="2">SUM(D12:D15)</f>
        <v>724792</v>
      </c>
      <c r="E11" s="135">
        <f t="shared" si="2"/>
        <v>146513</v>
      </c>
      <c r="F11" s="135">
        <f t="shared" si="2"/>
        <v>3130297.8550010002</v>
      </c>
      <c r="G11" s="135">
        <f t="shared" si="2"/>
        <v>2000</v>
      </c>
      <c r="H11" s="137">
        <f t="shared" si="2"/>
        <v>33450612.597799998</v>
      </c>
      <c r="J11" s="268" t="s">
        <v>1</v>
      </c>
      <c r="K11" s="191">
        <v>0</v>
      </c>
      <c r="L11" s="191">
        <v>0</v>
      </c>
      <c r="M11" s="191">
        <v>9246</v>
      </c>
      <c r="N11" s="191">
        <v>5023</v>
      </c>
      <c r="O11" s="191">
        <v>0</v>
      </c>
      <c r="P11" s="191">
        <v>0</v>
      </c>
      <c r="Q11" s="191">
        <v>14269</v>
      </c>
    </row>
    <row r="12" spans="1:18" ht="18" customHeight="1" x14ac:dyDescent="0.2">
      <c r="A12" s="173" t="s">
        <v>46</v>
      </c>
      <c r="B12" s="166">
        <f t="shared" si="1"/>
        <v>36045947.812801003</v>
      </c>
      <c r="C12" s="152">
        <v>0</v>
      </c>
      <c r="D12" s="152">
        <v>724792</v>
      </c>
      <c r="E12" s="152">
        <v>146513</v>
      </c>
      <c r="F12" s="152">
        <v>3074696.8550010002</v>
      </c>
      <c r="G12" s="152">
        <v>2000</v>
      </c>
      <c r="H12" s="196">
        <v>32097945.957800001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1321163.99</v>
      </c>
      <c r="C13" s="152">
        <v>0</v>
      </c>
      <c r="D13" s="152">
        <v>0</v>
      </c>
      <c r="E13" s="152">
        <v>0</v>
      </c>
      <c r="F13" s="152">
        <v>55601</v>
      </c>
      <c r="G13" s="152">
        <v>0</v>
      </c>
      <c r="H13" s="196">
        <v>1265562.99</v>
      </c>
      <c r="J13" s="269" t="s">
        <v>39</v>
      </c>
      <c r="K13" s="194">
        <v>0</v>
      </c>
      <c r="L13" s="194">
        <v>0</v>
      </c>
      <c r="M13" s="194">
        <v>9246</v>
      </c>
      <c r="N13" s="194">
        <v>5023</v>
      </c>
      <c r="O13" s="194">
        <v>0</v>
      </c>
      <c r="P13" s="194">
        <v>0</v>
      </c>
      <c r="Q13" s="195">
        <v>14269</v>
      </c>
      <c r="R13" s="105"/>
    </row>
    <row r="14" spans="1:18" ht="24" customHeight="1" x14ac:dyDescent="0.2">
      <c r="A14" s="177" t="s">
        <v>48</v>
      </c>
      <c r="B14" s="166">
        <f t="shared" si="1"/>
        <v>87103.65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87103.65</v>
      </c>
      <c r="Q14" s="32"/>
    </row>
    <row r="15" spans="1:18" ht="18" customHeight="1" x14ac:dyDescent="0.2">
      <c r="A15" s="173" t="s">
        <v>45</v>
      </c>
      <c r="B15" s="166">
        <f t="shared" si="1"/>
        <v>195740.43</v>
      </c>
      <c r="C15" s="152">
        <v>195740.43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47995996.73122599</v>
      </c>
      <c r="C16" s="135">
        <f>SUM(C17:C20)</f>
        <v>1773349.295715</v>
      </c>
      <c r="D16" s="135">
        <f t="shared" ref="D16:H16" si="3">SUM(D17:D20)</f>
        <v>10454551.133540999</v>
      </c>
      <c r="E16" s="135">
        <f t="shared" si="3"/>
        <v>2786113.6589740003</v>
      </c>
      <c r="F16" s="135">
        <f t="shared" si="3"/>
        <v>22792749.586505</v>
      </c>
      <c r="G16" s="135">
        <f t="shared" si="3"/>
        <v>193611.68991799999</v>
      </c>
      <c r="H16" s="137">
        <f t="shared" si="3"/>
        <v>9995621.3665729985</v>
      </c>
    </row>
    <row r="17" spans="1:14" ht="18" customHeight="1" x14ac:dyDescent="0.2">
      <c r="A17" s="173" t="s">
        <v>46</v>
      </c>
      <c r="B17" s="166">
        <f t="shared" si="1"/>
        <v>45422939.225267991</v>
      </c>
      <c r="C17" s="152">
        <v>0</v>
      </c>
      <c r="D17" s="152">
        <v>10454551.133540999</v>
      </c>
      <c r="E17" s="152">
        <v>2784026.8410100001</v>
      </c>
      <c r="F17" s="152">
        <v>22413453.738495</v>
      </c>
      <c r="G17" s="152">
        <v>193611.68991799999</v>
      </c>
      <c r="H17" s="196">
        <f>9591564.822304-14269</f>
        <v>9577295.8223039992</v>
      </c>
      <c r="I17" s="11"/>
    </row>
    <row r="18" spans="1:14" ht="24" customHeight="1" x14ac:dyDescent="0.2">
      <c r="A18" s="177" t="s">
        <v>47</v>
      </c>
      <c r="B18" s="166">
        <f t="shared" si="1"/>
        <v>732197.25024299999</v>
      </c>
      <c r="C18" s="152">
        <v>0</v>
      </c>
      <c r="D18" s="152">
        <v>0</v>
      </c>
      <c r="E18" s="152">
        <v>2086.8179639999998</v>
      </c>
      <c r="F18" s="152">
        <v>342549.64801</v>
      </c>
      <c r="G18" s="152">
        <v>0</v>
      </c>
      <c r="H18" s="196">
        <v>387560.784269</v>
      </c>
      <c r="J18" s="212"/>
    </row>
    <row r="19" spans="1:14" ht="24" customHeight="1" x14ac:dyDescent="0.2">
      <c r="A19" s="177" t="s">
        <v>48</v>
      </c>
      <c r="B19" s="166">
        <f t="shared" si="1"/>
        <v>67510.959999999992</v>
      </c>
      <c r="C19" s="152">
        <v>0</v>
      </c>
      <c r="D19" s="152">
        <v>0</v>
      </c>
      <c r="E19" s="152">
        <v>0</v>
      </c>
      <c r="F19" s="152">
        <v>36746.199999999997</v>
      </c>
      <c r="G19" s="152">
        <v>0</v>
      </c>
      <c r="H19" s="196">
        <v>30764.76</v>
      </c>
      <c r="J19" s="212"/>
    </row>
    <row r="20" spans="1:14" ht="18" customHeight="1" x14ac:dyDescent="0.2">
      <c r="A20" s="173" t="s">
        <v>45</v>
      </c>
      <c r="B20" s="166">
        <f t="shared" si="1"/>
        <v>1773349.295715</v>
      </c>
      <c r="C20" s="152">
        <v>1773349.295715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89108905.908485979</v>
      </c>
      <c r="C21" s="135">
        <f>C6+C11+C16</f>
        <v>2007483.3757150001</v>
      </c>
      <c r="D21" s="135">
        <f t="shared" ref="D21:H21" si="4">D6+D11+D16</f>
        <v>11243129.556299999</v>
      </c>
      <c r="E21" s="135">
        <f t="shared" si="4"/>
        <v>3164010.0189740001</v>
      </c>
      <c r="F21" s="135">
        <f t="shared" si="4"/>
        <v>27496400.263006002</v>
      </c>
      <c r="G21" s="135">
        <f t="shared" si="4"/>
        <v>195611.68991799999</v>
      </c>
      <c r="H21" s="137">
        <f t="shared" si="4"/>
        <v>45002271.004572995</v>
      </c>
      <c r="J21" s="249">
        <v>89123174.908486024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-4.4703483581542969E-8</v>
      </c>
      <c r="K22" s="255"/>
    </row>
    <row r="23" spans="1:14" ht="18" customHeight="1" thickBot="1" x14ac:dyDescent="0.25">
      <c r="A23" s="185" t="s">
        <v>14</v>
      </c>
      <c r="B23" s="214">
        <v>4030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9.1279651239999993</v>
      </c>
      <c r="C25" s="144">
        <f>SUM(C26:C29)</f>
        <v>2.4763388339999999</v>
      </c>
      <c r="D25" s="144">
        <f t="shared" ref="D25:H25" si="5">SUM(D26:D29)</f>
        <v>0.36174083699999998</v>
      </c>
      <c r="E25" s="144">
        <f t="shared" si="5"/>
        <v>3.06295E-3</v>
      </c>
      <c r="F25" s="144">
        <f t="shared" si="5"/>
        <v>5.8059220790000001</v>
      </c>
      <c r="G25" s="144">
        <f t="shared" si="5"/>
        <v>0.194038561</v>
      </c>
      <c r="H25" s="145">
        <f t="shared" si="5"/>
        <v>0.28686186299999999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2.4763388339999999</v>
      </c>
      <c r="C26" s="169">
        <v>2.4763388339999999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2.4763388339999999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6.6287950660000003</v>
      </c>
      <c r="C27" s="169">
        <v>0</v>
      </c>
      <c r="D27" s="169">
        <v>0.36174083699999998</v>
      </c>
      <c r="E27" s="169">
        <v>3.06295E-3</v>
      </c>
      <c r="F27" s="169">
        <v>5.7951977000000001</v>
      </c>
      <c r="G27" s="169">
        <v>0.194038561</v>
      </c>
      <c r="H27" s="180">
        <v>0.27475501800000002</v>
      </c>
      <c r="J27" s="251">
        <v>6.6516262900000003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2.2831223999999997E-2</v>
      </c>
      <c r="C28" s="169">
        <v>0</v>
      </c>
      <c r="D28" s="169">
        <v>0</v>
      </c>
      <c r="E28" s="169">
        <v>0</v>
      </c>
      <c r="F28" s="169">
        <v>1.0724378999999999E-2</v>
      </c>
      <c r="G28" s="169">
        <v>0</v>
      </c>
      <c r="H28" s="180">
        <v>1.2106845E-2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18544195.761631001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17135082.146221001</v>
      </c>
      <c r="C32" s="60"/>
      <c r="D32" s="236"/>
      <c r="E32" s="60"/>
      <c r="F32" s="60"/>
      <c r="G32" s="60"/>
      <c r="H32" s="88"/>
      <c r="J32" s="249">
        <f>D40</f>
        <v>16807907.026221</v>
      </c>
      <c r="K32" s="257" t="s">
        <v>61</v>
      </c>
    </row>
    <row r="33" spans="1:11" ht="24" customHeight="1" x14ac:dyDescent="0.2">
      <c r="A33" s="148" t="s">
        <v>49</v>
      </c>
      <c r="B33" s="200">
        <v>351205.20166899997</v>
      </c>
      <c r="C33" s="61"/>
      <c r="D33" s="236"/>
      <c r="E33" s="60"/>
      <c r="F33" s="60"/>
      <c r="G33" s="60"/>
      <c r="H33" s="88"/>
      <c r="J33" s="249">
        <f>D46</f>
        <v>1409113.6154100001</v>
      </c>
      <c r="K33" s="257" t="s">
        <v>60</v>
      </c>
    </row>
    <row r="34" spans="1:11" ht="18" customHeight="1" x14ac:dyDescent="0.2">
      <c r="A34" s="149" t="s">
        <v>24</v>
      </c>
      <c r="B34" s="200">
        <v>935518.21200000006</v>
      </c>
      <c r="C34" s="61"/>
      <c r="D34" s="236"/>
      <c r="E34" s="60"/>
      <c r="F34" s="60"/>
      <c r="G34" s="60"/>
      <c r="H34" s="88"/>
      <c r="J34" s="249">
        <v>327175.12</v>
      </c>
      <c r="K34" s="257" t="s">
        <v>62</v>
      </c>
    </row>
    <row r="35" spans="1:11" ht="18" customHeight="1" x14ac:dyDescent="0.2">
      <c r="A35" s="150" t="s">
        <v>20</v>
      </c>
      <c r="B35" s="200">
        <v>73859.964500000002</v>
      </c>
      <c r="C35" s="61"/>
      <c r="D35" s="236"/>
      <c r="E35" s="60"/>
      <c r="F35" s="60"/>
      <c r="G35" s="60"/>
      <c r="H35" s="88"/>
      <c r="J35" s="267">
        <f>B31-J32-J33-J34</f>
        <v>1.0477378964424133E-9</v>
      </c>
    </row>
    <row r="36" spans="1:11" ht="18" customHeight="1" x14ac:dyDescent="0.2">
      <c r="A36" s="150" t="s">
        <v>22</v>
      </c>
      <c r="B36" s="200">
        <v>12277.627241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36252.61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16807907.026221011</v>
      </c>
      <c r="C40" s="249">
        <f>B32-B40-J34</f>
        <v>-1.0128132998943329E-8</v>
      </c>
      <c r="D40" s="266">
        <v>16807907.026221</v>
      </c>
      <c r="E40" s="249">
        <f>B40-D40</f>
        <v>0</v>
      </c>
    </row>
    <row r="41" spans="1:11" hidden="1" x14ac:dyDescent="0.2">
      <c r="A41" s="255" t="s">
        <v>49</v>
      </c>
      <c r="B41" s="249">
        <v>351205.20166899997</v>
      </c>
      <c r="C41" s="249">
        <f>B33-B41</f>
        <v>0</v>
      </c>
      <c r="D41" s="266">
        <v>351205.20166899997</v>
      </c>
      <c r="E41" s="249">
        <f>B41-D41</f>
        <v>0</v>
      </c>
    </row>
    <row r="42" spans="1:11" hidden="1" x14ac:dyDescent="0.2">
      <c r="A42" s="255" t="s">
        <v>24</v>
      </c>
      <c r="B42" s="249">
        <v>935518.21199999994</v>
      </c>
      <c r="C42" s="249">
        <f t="shared" ref="C42:C45" si="6">B34-B42</f>
        <v>0</v>
      </c>
      <c r="D42" s="266">
        <v>935518.21200000006</v>
      </c>
      <c r="E42" s="249">
        <f>B42-D42</f>
        <v>0</v>
      </c>
    </row>
    <row r="43" spans="1:11" hidden="1" x14ac:dyDescent="0.2">
      <c r="A43" s="255" t="s">
        <v>20</v>
      </c>
      <c r="B43" s="249">
        <v>73859.964500000002</v>
      </c>
      <c r="C43" s="249">
        <f t="shared" si="6"/>
        <v>0</v>
      </c>
      <c r="D43" s="266">
        <v>73859.964500000002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12277.627240999987</v>
      </c>
      <c r="C44" s="249">
        <f t="shared" si="6"/>
        <v>0</v>
      </c>
      <c r="D44" s="266">
        <v>12277.627241</v>
      </c>
      <c r="E44" s="249">
        <f>B44-D44</f>
        <v>0</v>
      </c>
    </row>
    <row r="45" spans="1:11" hidden="1" x14ac:dyDescent="0.2">
      <c r="A45" s="255" t="s">
        <v>42</v>
      </c>
      <c r="B45" s="249">
        <v>36252.61</v>
      </c>
      <c r="C45" s="249">
        <f t="shared" si="6"/>
        <v>0</v>
      </c>
      <c r="D45" s="266">
        <v>36252.61</v>
      </c>
      <c r="E45" s="249">
        <f t="shared" si="7"/>
        <v>0</v>
      </c>
    </row>
    <row r="46" spans="1:11" hidden="1" x14ac:dyDescent="0.2">
      <c r="B46" s="249">
        <f>SUM(B41:B45)</f>
        <v>1409113.6154100001</v>
      </c>
      <c r="C46" s="249">
        <f>SUM(C40:C45)</f>
        <v>-1.0128132998943329E-8</v>
      </c>
      <c r="D46" s="259">
        <f>SUM(D41:D45)</f>
        <v>1409113.6154100001</v>
      </c>
      <c r="E46" s="249">
        <f>SUM(E40:E45)</f>
        <v>0</v>
      </c>
    </row>
    <row r="47" spans="1:11" hidden="1" x14ac:dyDescent="0.2">
      <c r="B47" s="267">
        <f>B46+B40+J34-B32</f>
        <v>1409113.6154100113</v>
      </c>
      <c r="C47" s="249"/>
      <c r="D47" s="259">
        <f>D46+D40</f>
        <v>18217020.641631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EE44-368B-4EF2-A16A-26A9C79E697C}">
  <sheetPr>
    <tabColor rgb="FFCCFFFF"/>
    <pageSetUpPr fitToPage="1"/>
  </sheetPr>
  <dimension ref="A1:R54"/>
  <sheetViews>
    <sheetView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45170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3983327.6886109998</v>
      </c>
      <c r="C6" s="135">
        <f>SUM(C7:C10)</f>
        <v>20818.27</v>
      </c>
      <c r="D6" s="135">
        <f t="shared" ref="D6:H6" si="0">SUM(D7:D10)</f>
        <v>55064.695470999999</v>
      </c>
      <c r="E6" s="135">
        <f t="shared" si="0"/>
        <v>282106.15999999997</v>
      </c>
      <c r="F6" s="135">
        <f t="shared" si="0"/>
        <v>1650605.4550399999</v>
      </c>
      <c r="G6" s="135">
        <f t="shared" si="0"/>
        <v>0</v>
      </c>
      <c r="H6" s="137">
        <f t="shared" si="0"/>
        <v>1974733.1081000001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3842069.118611</v>
      </c>
      <c r="C7" s="152">
        <v>0</v>
      </c>
      <c r="D7" s="152">
        <v>55064.695470999999</v>
      </c>
      <c r="E7" s="152">
        <v>282106.15999999997</v>
      </c>
      <c r="F7" s="152">
        <v>1641701.4550399999</v>
      </c>
      <c r="G7" s="152">
        <v>0</v>
      </c>
      <c r="H7" s="196">
        <v>1863196.8081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118326</v>
      </c>
      <c r="C8" s="152">
        <v>0</v>
      </c>
      <c r="D8" s="152">
        <v>0</v>
      </c>
      <c r="E8" s="152">
        <v>0</v>
      </c>
      <c r="F8" s="152">
        <v>8904</v>
      </c>
      <c r="G8" s="152">
        <v>0</v>
      </c>
      <c r="H8" s="196">
        <v>109422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2114.3000000000002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2114.3000000000002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20818.27</v>
      </c>
      <c r="C10" s="152">
        <v>20818.27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8868</v>
      </c>
      <c r="N10" s="75">
        <v>2086</v>
      </c>
      <c r="O10" s="75"/>
      <c r="P10" s="75"/>
      <c r="Q10" s="190">
        <v>10954</v>
      </c>
    </row>
    <row r="11" spans="1:18" ht="18" customHeight="1" x14ac:dyDescent="0.2">
      <c r="A11" s="176" t="s">
        <v>9</v>
      </c>
      <c r="B11" s="165">
        <f t="shared" si="1"/>
        <v>36412322.248199999</v>
      </c>
      <c r="C11" s="135">
        <f>SUM(C12:C15)</f>
        <v>166648.82999999999</v>
      </c>
      <c r="D11" s="135">
        <f t="shared" ref="D11:H11" si="2">SUM(D12:D15)</f>
        <v>613803</v>
      </c>
      <c r="E11" s="135">
        <f t="shared" si="2"/>
        <v>122168</v>
      </c>
      <c r="F11" s="135">
        <f t="shared" si="2"/>
        <v>2889523.2012</v>
      </c>
      <c r="G11" s="135">
        <f t="shared" si="2"/>
        <v>1120</v>
      </c>
      <c r="H11" s="137">
        <f t="shared" si="2"/>
        <v>32619059.217</v>
      </c>
      <c r="J11" s="268" t="s">
        <v>1</v>
      </c>
      <c r="K11" s="191">
        <v>0</v>
      </c>
      <c r="L11" s="191">
        <v>0</v>
      </c>
      <c r="M11" s="191">
        <v>8868</v>
      </c>
      <c r="N11" s="191">
        <v>2086</v>
      </c>
      <c r="O11" s="191">
        <v>0</v>
      </c>
      <c r="P11" s="191">
        <v>0</v>
      </c>
      <c r="Q11" s="191">
        <v>10954</v>
      </c>
    </row>
    <row r="12" spans="1:18" ht="18" customHeight="1" x14ac:dyDescent="0.2">
      <c r="A12" s="173" t="s">
        <v>46</v>
      </c>
      <c r="B12" s="166">
        <f t="shared" si="1"/>
        <v>34804896.548199996</v>
      </c>
      <c r="C12" s="152">
        <v>0</v>
      </c>
      <c r="D12" s="152">
        <v>613803</v>
      </c>
      <c r="E12" s="152">
        <v>122168</v>
      </c>
      <c r="F12" s="152">
        <v>2844592.2012</v>
      </c>
      <c r="G12" s="152">
        <v>1120</v>
      </c>
      <c r="H12" s="196">
        <v>31223213.346999999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1354359.2</v>
      </c>
      <c r="C13" s="152">
        <v>0</v>
      </c>
      <c r="D13" s="152">
        <v>0</v>
      </c>
      <c r="E13" s="152">
        <v>0</v>
      </c>
      <c r="F13" s="152">
        <v>44931</v>
      </c>
      <c r="G13" s="152">
        <v>0</v>
      </c>
      <c r="H13" s="196">
        <v>1309428.2</v>
      </c>
      <c r="J13" s="269" t="s">
        <v>39</v>
      </c>
      <c r="K13" s="194">
        <v>0</v>
      </c>
      <c r="L13" s="194">
        <v>0</v>
      </c>
      <c r="M13" s="194">
        <v>8868</v>
      </c>
      <c r="N13" s="194">
        <v>2086</v>
      </c>
      <c r="O13" s="194">
        <v>0</v>
      </c>
      <c r="P13" s="194">
        <v>0</v>
      </c>
      <c r="Q13" s="195">
        <v>10954</v>
      </c>
      <c r="R13" s="105"/>
    </row>
    <row r="14" spans="1:18" ht="24" customHeight="1" x14ac:dyDescent="0.2">
      <c r="A14" s="177" t="s">
        <v>48</v>
      </c>
      <c r="B14" s="166">
        <f t="shared" si="1"/>
        <v>86417.67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86417.67</v>
      </c>
      <c r="Q14" s="32"/>
    </row>
    <row r="15" spans="1:18" ht="18" customHeight="1" x14ac:dyDescent="0.2">
      <c r="A15" s="173" t="s">
        <v>45</v>
      </c>
      <c r="B15" s="166">
        <f t="shared" si="1"/>
        <v>166648.82999999999</v>
      </c>
      <c r="C15" s="152">
        <v>166648.82999999999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44896069.587024003</v>
      </c>
      <c r="C16" s="135">
        <f>SUM(C17:C20)</f>
        <v>1674910.5574769999</v>
      </c>
      <c r="D16" s="135">
        <f t="shared" ref="D16:H16" si="3">SUM(D17:D20)</f>
        <v>10083135.705313999</v>
      </c>
      <c r="E16" s="135">
        <f t="shared" si="3"/>
        <v>2014284.9881149998</v>
      </c>
      <c r="F16" s="135">
        <f t="shared" si="3"/>
        <v>22454359.083438002</v>
      </c>
      <c r="G16" s="135">
        <f t="shared" si="3"/>
        <v>324656.77820499998</v>
      </c>
      <c r="H16" s="137">
        <f t="shared" si="3"/>
        <v>8344722.474475001</v>
      </c>
    </row>
    <row r="17" spans="1:14" ht="18" customHeight="1" x14ac:dyDescent="0.2">
      <c r="A17" s="173" t="s">
        <v>46</v>
      </c>
      <c r="B17" s="166">
        <f t="shared" si="1"/>
        <v>42405617.614613004</v>
      </c>
      <c r="C17" s="152">
        <v>0</v>
      </c>
      <c r="D17" s="152">
        <v>10083135.705313999</v>
      </c>
      <c r="E17" s="152">
        <v>2010534.4475809999</v>
      </c>
      <c r="F17" s="152">
        <v>22000716.842833001</v>
      </c>
      <c r="G17" s="152">
        <v>324656.77820499998</v>
      </c>
      <c r="H17" s="196">
        <f>7997527.84068-10954</f>
        <v>7986573.8406800004</v>
      </c>
      <c r="I17" s="11"/>
    </row>
    <row r="18" spans="1:14" ht="24" customHeight="1" x14ac:dyDescent="0.2">
      <c r="A18" s="177" t="s">
        <v>47</v>
      </c>
      <c r="B18" s="166">
        <f t="shared" si="1"/>
        <v>746969.01493400009</v>
      </c>
      <c r="C18" s="152">
        <v>0</v>
      </c>
      <c r="D18" s="152">
        <v>0</v>
      </c>
      <c r="E18" s="152">
        <v>3750.5405340000002</v>
      </c>
      <c r="F18" s="152">
        <v>412699.240605</v>
      </c>
      <c r="G18" s="152">
        <v>0</v>
      </c>
      <c r="H18" s="196">
        <v>330519.23379500001</v>
      </c>
      <c r="J18" s="212"/>
    </row>
    <row r="19" spans="1:14" ht="24" customHeight="1" x14ac:dyDescent="0.2">
      <c r="A19" s="177" t="s">
        <v>48</v>
      </c>
      <c r="B19" s="166">
        <f t="shared" si="1"/>
        <v>68572.399999999994</v>
      </c>
      <c r="C19" s="152">
        <v>0</v>
      </c>
      <c r="D19" s="152">
        <v>0</v>
      </c>
      <c r="E19" s="152">
        <v>0</v>
      </c>
      <c r="F19" s="152">
        <v>40943</v>
      </c>
      <c r="G19" s="152">
        <v>0</v>
      </c>
      <c r="H19" s="196">
        <v>27629.4</v>
      </c>
      <c r="J19" s="212"/>
    </row>
    <row r="20" spans="1:14" ht="18" customHeight="1" x14ac:dyDescent="0.2">
      <c r="A20" s="173" t="s">
        <v>45</v>
      </c>
      <c r="B20" s="166">
        <f t="shared" si="1"/>
        <v>1674910.5574769999</v>
      </c>
      <c r="C20" s="152">
        <v>1674910.5574769999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85291719.523835003</v>
      </c>
      <c r="C21" s="135">
        <f>C6+C11+C16</f>
        <v>1862377.6574769998</v>
      </c>
      <c r="D21" s="135">
        <f t="shared" ref="D21:H21" si="4">D6+D11+D16</f>
        <v>10752003.400784999</v>
      </c>
      <c r="E21" s="135">
        <f t="shared" si="4"/>
        <v>2418559.1481149998</v>
      </c>
      <c r="F21" s="135">
        <f t="shared" si="4"/>
        <v>26994487.739678003</v>
      </c>
      <c r="G21" s="135">
        <f t="shared" si="4"/>
        <v>325776.77820499998</v>
      </c>
      <c r="H21" s="137">
        <f t="shared" si="4"/>
        <v>42938514.799575001</v>
      </c>
      <c r="J21" s="249">
        <v>85302673.523835003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0</v>
      </c>
      <c r="K22" s="255"/>
    </row>
    <row r="23" spans="1:14" ht="18" customHeight="1" thickBot="1" x14ac:dyDescent="0.25">
      <c r="A23" s="185" t="s">
        <v>14</v>
      </c>
      <c r="B23" s="214">
        <v>2525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8.6778567680000016</v>
      </c>
      <c r="C25" s="144">
        <f>SUM(C26:C29)</f>
        <v>2.1802692879999999</v>
      </c>
      <c r="D25" s="144">
        <f t="shared" ref="D25:H25" si="5">SUM(D26:D29)</f>
        <v>0.355822788</v>
      </c>
      <c r="E25" s="144">
        <f t="shared" si="5"/>
        <v>2.982569E-3</v>
      </c>
      <c r="F25" s="144">
        <f t="shared" si="5"/>
        <v>5.6766160460000004</v>
      </c>
      <c r="G25" s="144">
        <f t="shared" si="5"/>
        <v>0.191433197</v>
      </c>
      <c r="H25" s="145">
        <f t="shared" si="5"/>
        <v>0.27073288000000001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2.1802692879999999</v>
      </c>
      <c r="C26" s="169">
        <v>2.1802692879999999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2.1802692879999999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6.4746713700000003</v>
      </c>
      <c r="C27" s="169">
        <v>0</v>
      </c>
      <c r="D27" s="169">
        <v>0.355822788</v>
      </c>
      <c r="E27" s="169">
        <v>2.982569E-3</v>
      </c>
      <c r="F27" s="169">
        <v>5.6650216410000001</v>
      </c>
      <c r="G27" s="169">
        <v>0.191433197</v>
      </c>
      <c r="H27" s="180">
        <v>0.25941117499999999</v>
      </c>
      <c r="J27" s="251">
        <v>6.49758748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2.291611E-2</v>
      </c>
      <c r="C28" s="169">
        <v>0</v>
      </c>
      <c r="D28" s="169">
        <v>0</v>
      </c>
      <c r="E28" s="169">
        <v>0</v>
      </c>
      <c r="F28" s="169">
        <v>1.1594405E-2</v>
      </c>
      <c r="G28" s="169">
        <v>0</v>
      </c>
      <c r="H28" s="180">
        <v>1.1321705E-2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15815438.273198003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14875062.624593001</v>
      </c>
      <c r="C32" s="60"/>
      <c r="D32" s="236"/>
      <c r="E32" s="60"/>
      <c r="F32" s="60"/>
      <c r="G32" s="60"/>
      <c r="H32" s="88"/>
      <c r="J32" s="249">
        <f>D40</f>
        <v>14824002.130593</v>
      </c>
      <c r="K32" s="257" t="s">
        <v>61</v>
      </c>
    </row>
    <row r="33" spans="1:11" ht="24" customHeight="1" x14ac:dyDescent="0.2">
      <c r="A33" s="148" t="s">
        <v>49</v>
      </c>
      <c r="B33" s="200">
        <v>364782.59121599997</v>
      </c>
      <c r="C33" s="61"/>
      <c r="D33" s="236"/>
      <c r="E33" s="60"/>
      <c r="F33" s="60"/>
      <c r="G33" s="60"/>
      <c r="H33" s="88"/>
      <c r="J33" s="249">
        <f>D46</f>
        <v>938285.64860499999</v>
      </c>
      <c r="K33" s="257" t="s">
        <v>60</v>
      </c>
    </row>
    <row r="34" spans="1:11" ht="18" customHeight="1" x14ac:dyDescent="0.2">
      <c r="A34" s="149" t="s">
        <v>24</v>
      </c>
      <c r="B34" s="200">
        <v>409939.07636000001</v>
      </c>
      <c r="C34" s="61"/>
      <c r="D34" s="236"/>
      <c r="E34" s="60"/>
      <c r="F34" s="60"/>
      <c r="G34" s="60"/>
      <c r="H34" s="88"/>
      <c r="J34" s="249">
        <v>53150.493999999999</v>
      </c>
      <c r="K34" s="257" t="s">
        <v>62</v>
      </c>
    </row>
    <row r="35" spans="1:11" ht="18" customHeight="1" x14ac:dyDescent="0.2">
      <c r="A35" s="150" t="s">
        <v>20</v>
      </c>
      <c r="B35" s="200">
        <v>73413.304499999998</v>
      </c>
      <c r="C35" s="61"/>
      <c r="D35" s="236"/>
      <c r="E35" s="60"/>
      <c r="F35" s="60"/>
      <c r="G35" s="60"/>
      <c r="H35" s="88"/>
      <c r="J35" s="267">
        <f>B31-J32-J33-J34</f>
        <v>2.9758666642010212E-9</v>
      </c>
    </row>
    <row r="36" spans="1:11" ht="18" customHeight="1" x14ac:dyDescent="0.2">
      <c r="A36" s="150" t="s">
        <v>22</v>
      </c>
      <c r="B36" s="200">
        <v>55882.536528999997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36358.14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14824002.130593013</v>
      </c>
      <c r="C40" s="249">
        <f>B32-B40-J34</f>
        <v>-2090.0000000121581</v>
      </c>
      <c r="D40" s="266">
        <v>14824002.130593</v>
      </c>
      <c r="E40" s="249">
        <f>B40-D40</f>
        <v>0</v>
      </c>
    </row>
    <row r="41" spans="1:11" hidden="1" x14ac:dyDescent="0.2">
      <c r="A41" s="255" t="s">
        <v>49</v>
      </c>
      <c r="B41" s="249">
        <v>364782.59121600003</v>
      </c>
      <c r="C41" s="249">
        <f>B33-B41</f>
        <v>0</v>
      </c>
      <c r="D41" s="266">
        <v>364782.59121599997</v>
      </c>
      <c r="E41" s="249">
        <f>B41-D41</f>
        <v>0</v>
      </c>
    </row>
    <row r="42" spans="1:11" hidden="1" x14ac:dyDescent="0.2">
      <c r="A42" s="255" t="s">
        <v>24</v>
      </c>
      <c r="B42" s="249">
        <v>407849.07636000001</v>
      </c>
      <c r="C42" s="249">
        <f t="shared" ref="C42:C45" si="6">B34-B42</f>
        <v>2090</v>
      </c>
      <c r="D42" s="266">
        <v>407849.07636000001</v>
      </c>
      <c r="E42" s="249">
        <f>B42-D42</f>
        <v>0</v>
      </c>
    </row>
    <row r="43" spans="1:11" hidden="1" x14ac:dyDescent="0.2">
      <c r="A43" s="255" t="s">
        <v>20</v>
      </c>
      <c r="B43" s="249">
        <v>73413.304499999998</v>
      </c>
      <c r="C43" s="249">
        <f t="shared" si="6"/>
        <v>0</v>
      </c>
      <c r="D43" s="266">
        <v>73413.304499999998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55882.536529000019</v>
      </c>
      <c r="C44" s="249">
        <f t="shared" si="6"/>
        <v>0</v>
      </c>
      <c r="D44" s="266">
        <v>55882.536528999997</v>
      </c>
      <c r="E44" s="249">
        <f>B44-D44</f>
        <v>0</v>
      </c>
    </row>
    <row r="45" spans="1:11" hidden="1" x14ac:dyDescent="0.2">
      <c r="A45" s="255" t="s">
        <v>42</v>
      </c>
      <c r="B45" s="249">
        <v>36358.14</v>
      </c>
      <c r="C45" s="249">
        <f t="shared" si="6"/>
        <v>0</v>
      </c>
      <c r="D45" s="266">
        <v>36358.14</v>
      </c>
      <c r="E45" s="249">
        <f t="shared" si="7"/>
        <v>0</v>
      </c>
    </row>
    <row r="46" spans="1:11" hidden="1" x14ac:dyDescent="0.2">
      <c r="B46" s="249">
        <f>SUM(B41:B45)</f>
        <v>938285.64860500011</v>
      </c>
      <c r="C46" s="249">
        <f>SUM(C40:C45)</f>
        <v>-1.2158125173300505E-8</v>
      </c>
      <c r="D46" s="259">
        <f>SUM(D41:D45)</f>
        <v>938285.64860499999</v>
      </c>
      <c r="E46" s="249">
        <f>SUM(E40:E45)</f>
        <v>0</v>
      </c>
    </row>
    <row r="47" spans="1:11" hidden="1" x14ac:dyDescent="0.2">
      <c r="B47" s="267">
        <f>B46+B40+J34-B32</f>
        <v>940375.64860501327</v>
      </c>
      <c r="C47" s="249"/>
      <c r="D47" s="259">
        <f>D46+D40</f>
        <v>15762287.779198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DC9A-7002-4701-A536-EA1922638171}">
  <sheetPr>
    <tabColor rgb="FFCCFFFF"/>
    <pageSetUpPr fitToPage="1"/>
  </sheetPr>
  <dimension ref="A1:R54"/>
  <sheetViews>
    <sheetView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45200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5448656.1096080001</v>
      </c>
      <c r="C6" s="135">
        <f>SUM(C7:C10)</f>
        <v>21857.77</v>
      </c>
      <c r="D6" s="135">
        <f t="shared" ref="D6:H6" si="0">SUM(D7:D10)</f>
        <v>75074.701518000002</v>
      </c>
      <c r="E6" s="135">
        <f t="shared" si="0"/>
        <v>394981.42</v>
      </c>
      <c r="F6" s="135">
        <f t="shared" si="0"/>
        <v>2105045.3959600003</v>
      </c>
      <c r="G6" s="135">
        <f t="shared" si="0"/>
        <v>0</v>
      </c>
      <c r="H6" s="137">
        <f t="shared" si="0"/>
        <v>2851696.8221300002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5309207.3396080006</v>
      </c>
      <c r="C7" s="152">
        <v>0</v>
      </c>
      <c r="D7" s="152">
        <v>75074.701518000002</v>
      </c>
      <c r="E7" s="152">
        <v>394981.42</v>
      </c>
      <c r="F7" s="152">
        <v>2094301.3959600001</v>
      </c>
      <c r="G7" s="152">
        <v>0</v>
      </c>
      <c r="H7" s="196">
        <v>2744849.8221300002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114458</v>
      </c>
      <c r="C8" s="152">
        <v>0</v>
      </c>
      <c r="D8" s="152">
        <v>0</v>
      </c>
      <c r="E8" s="152">
        <v>0</v>
      </c>
      <c r="F8" s="152">
        <v>10744</v>
      </c>
      <c r="G8" s="152">
        <v>0</v>
      </c>
      <c r="H8" s="196">
        <v>103714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3133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3133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21857.77</v>
      </c>
      <c r="C10" s="152">
        <v>21857.77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7470</v>
      </c>
      <c r="N10" s="75">
        <v>3843</v>
      </c>
      <c r="O10" s="75"/>
      <c r="P10" s="75"/>
      <c r="Q10" s="190">
        <v>11313</v>
      </c>
    </row>
    <row r="11" spans="1:18" ht="18" customHeight="1" x14ac:dyDescent="0.2">
      <c r="A11" s="176" t="s">
        <v>9</v>
      </c>
      <c r="B11" s="165">
        <f t="shared" si="1"/>
        <v>36185874.111001</v>
      </c>
      <c r="C11" s="135">
        <f>SUM(C12:C15)</f>
        <v>207365.1</v>
      </c>
      <c r="D11" s="135">
        <f t="shared" ref="D11:H11" si="2">SUM(D12:D15)</f>
        <v>704596</v>
      </c>
      <c r="E11" s="135">
        <f t="shared" si="2"/>
        <v>124136</v>
      </c>
      <c r="F11" s="135">
        <f t="shared" si="2"/>
        <v>2861212.9998010001</v>
      </c>
      <c r="G11" s="135">
        <f t="shared" si="2"/>
        <v>4720</v>
      </c>
      <c r="H11" s="137">
        <f t="shared" si="2"/>
        <v>32283844.0112</v>
      </c>
      <c r="J11" s="268" t="s">
        <v>1</v>
      </c>
      <c r="K11" s="191">
        <v>0</v>
      </c>
      <c r="L11" s="191">
        <v>0</v>
      </c>
      <c r="M11" s="191">
        <v>7470</v>
      </c>
      <c r="N11" s="191">
        <v>3843</v>
      </c>
      <c r="O11" s="191">
        <v>0</v>
      </c>
      <c r="P11" s="191">
        <v>0</v>
      </c>
      <c r="Q11" s="191">
        <v>11313</v>
      </c>
    </row>
    <row r="12" spans="1:18" ht="18" customHeight="1" x14ac:dyDescent="0.2">
      <c r="A12" s="173" t="s">
        <v>46</v>
      </c>
      <c r="B12" s="166">
        <f t="shared" si="1"/>
        <v>34450944.491001002</v>
      </c>
      <c r="C12" s="152">
        <v>0</v>
      </c>
      <c r="D12" s="152">
        <v>704596</v>
      </c>
      <c r="E12" s="152">
        <v>124136</v>
      </c>
      <c r="F12" s="152">
        <v>2830948.9998010001</v>
      </c>
      <c r="G12" s="152">
        <v>4720</v>
      </c>
      <c r="H12" s="196">
        <v>30786543.4912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1440661.87</v>
      </c>
      <c r="C13" s="152">
        <v>0</v>
      </c>
      <c r="D13" s="152">
        <v>0</v>
      </c>
      <c r="E13" s="152">
        <v>0</v>
      </c>
      <c r="F13" s="152">
        <v>30264</v>
      </c>
      <c r="G13" s="152">
        <v>0</v>
      </c>
      <c r="H13" s="196">
        <v>1410397.87</v>
      </c>
      <c r="J13" s="269" t="s">
        <v>39</v>
      </c>
      <c r="K13" s="194">
        <v>0</v>
      </c>
      <c r="L13" s="194">
        <v>0</v>
      </c>
      <c r="M13" s="194">
        <v>7470</v>
      </c>
      <c r="N13" s="194">
        <v>3843</v>
      </c>
      <c r="O13" s="194">
        <v>0</v>
      </c>
      <c r="P13" s="194">
        <v>0</v>
      </c>
      <c r="Q13" s="195">
        <v>11313</v>
      </c>
      <c r="R13" s="105"/>
    </row>
    <row r="14" spans="1:18" ht="24" customHeight="1" x14ac:dyDescent="0.2">
      <c r="A14" s="177" t="s">
        <v>48</v>
      </c>
      <c r="B14" s="166">
        <f t="shared" si="1"/>
        <v>86902.65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86902.65</v>
      </c>
      <c r="Q14" s="32"/>
    </row>
    <row r="15" spans="1:18" ht="18" customHeight="1" x14ac:dyDescent="0.2">
      <c r="A15" s="173" t="s">
        <v>45</v>
      </c>
      <c r="B15" s="166">
        <f t="shared" si="1"/>
        <v>207365.1</v>
      </c>
      <c r="C15" s="152">
        <v>207365.1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55812241.041631997</v>
      </c>
      <c r="C16" s="135">
        <f>SUM(C17:C20)</f>
        <v>2885490.7226450001</v>
      </c>
      <c r="D16" s="135">
        <f t="shared" ref="D16:H16" si="3">SUM(D17:D20)</f>
        <v>12875522.183448</v>
      </c>
      <c r="E16" s="135">
        <f t="shared" si="3"/>
        <v>2572185.6046970002</v>
      </c>
      <c r="F16" s="135">
        <f t="shared" si="3"/>
        <v>26077383.834286999</v>
      </c>
      <c r="G16" s="135">
        <f t="shared" si="3"/>
        <v>303286.15347000002</v>
      </c>
      <c r="H16" s="137">
        <f t="shared" si="3"/>
        <v>11098372.543085</v>
      </c>
    </row>
    <row r="17" spans="1:14" ht="18" customHeight="1" x14ac:dyDescent="0.2">
      <c r="A17" s="173" t="s">
        <v>46</v>
      </c>
      <c r="B17" s="166">
        <f t="shared" si="1"/>
        <v>51903501.410094</v>
      </c>
      <c r="C17" s="152">
        <v>0</v>
      </c>
      <c r="D17" s="152">
        <v>12875522.183448</v>
      </c>
      <c r="E17" s="152">
        <v>2565588.7020970001</v>
      </c>
      <c r="F17" s="152">
        <v>25463618.080642998</v>
      </c>
      <c r="G17" s="152">
        <v>303286.15347000002</v>
      </c>
      <c r="H17" s="196">
        <f>10706799.290436-11313</f>
        <v>10695486.290436</v>
      </c>
      <c r="I17" s="11"/>
    </row>
    <row r="18" spans="1:14" ht="24" customHeight="1" x14ac:dyDescent="0.2">
      <c r="A18" s="177" t="s">
        <v>47</v>
      </c>
      <c r="B18" s="166">
        <f t="shared" si="1"/>
        <v>948818.14889300009</v>
      </c>
      <c r="C18" s="152">
        <v>0</v>
      </c>
      <c r="D18" s="152">
        <v>0</v>
      </c>
      <c r="E18" s="152">
        <v>6596.9026000000003</v>
      </c>
      <c r="F18" s="152">
        <v>566003.75364400004</v>
      </c>
      <c r="G18" s="152">
        <v>0</v>
      </c>
      <c r="H18" s="196">
        <v>376217.49264900002</v>
      </c>
      <c r="J18" s="212"/>
    </row>
    <row r="19" spans="1:14" ht="24" customHeight="1" x14ac:dyDescent="0.2">
      <c r="A19" s="177" t="s">
        <v>48</v>
      </c>
      <c r="B19" s="166">
        <f t="shared" si="1"/>
        <v>74430.759999999995</v>
      </c>
      <c r="C19" s="152">
        <v>0</v>
      </c>
      <c r="D19" s="152">
        <v>0</v>
      </c>
      <c r="E19" s="152">
        <v>0</v>
      </c>
      <c r="F19" s="152">
        <v>47762</v>
      </c>
      <c r="G19" s="152">
        <v>0</v>
      </c>
      <c r="H19" s="196">
        <v>26668.76</v>
      </c>
      <c r="J19" s="212"/>
    </row>
    <row r="20" spans="1:14" ht="18" customHeight="1" x14ac:dyDescent="0.2">
      <c r="A20" s="173" t="s">
        <v>45</v>
      </c>
      <c r="B20" s="166">
        <f t="shared" si="1"/>
        <v>2885490.7226450001</v>
      </c>
      <c r="C20" s="152">
        <v>2885490.7226450001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97446771.262241006</v>
      </c>
      <c r="C21" s="135">
        <f>C6+C11+C16</f>
        <v>3114713.5926450002</v>
      </c>
      <c r="D21" s="135">
        <f t="shared" ref="D21:H21" si="4">D6+D11+D16</f>
        <v>13655192.884965999</v>
      </c>
      <c r="E21" s="135">
        <f t="shared" si="4"/>
        <v>3091303.0246970002</v>
      </c>
      <c r="F21" s="135">
        <f t="shared" si="4"/>
        <v>31043642.230048001</v>
      </c>
      <c r="G21" s="135">
        <f t="shared" si="4"/>
        <v>308006.15347000002</v>
      </c>
      <c r="H21" s="137">
        <f t="shared" si="4"/>
        <v>46233913.376414999</v>
      </c>
      <c r="J21" s="249">
        <v>97458084.262240976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6549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9.8583881160000004</v>
      </c>
      <c r="C25" s="144">
        <f>SUM(C26:C29)</f>
        <v>3.162415255</v>
      </c>
      <c r="D25" s="144">
        <f t="shared" ref="D25:H25" si="5">SUM(D26:D29)</f>
        <v>0.448883906</v>
      </c>
      <c r="E25" s="144">
        <f t="shared" si="5"/>
        <v>2.7566930000000002E-3</v>
      </c>
      <c r="F25" s="144">
        <f t="shared" si="5"/>
        <v>5.6804668720000002</v>
      </c>
      <c r="G25" s="144">
        <f t="shared" si="5"/>
        <v>0.304850224</v>
      </c>
      <c r="H25" s="145">
        <f t="shared" si="5"/>
        <v>0.25901516600000002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3.162415255</v>
      </c>
      <c r="C26" s="169">
        <v>3.162415255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74">
        <v>3.162415255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6.6707869249999998</v>
      </c>
      <c r="C27" s="169">
        <v>0</v>
      </c>
      <c r="D27" s="169">
        <v>0.448883906</v>
      </c>
      <c r="E27" s="169">
        <v>2.7566930000000002E-3</v>
      </c>
      <c r="F27" s="169">
        <v>5.6661634520000002</v>
      </c>
      <c r="G27" s="169">
        <v>0.304850224</v>
      </c>
      <c r="H27" s="180">
        <v>0.24813265000000001</v>
      </c>
      <c r="J27" s="251">
        <v>6.6959728610000004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2.5185935999999999E-2</v>
      </c>
      <c r="C28" s="169">
        <v>0</v>
      </c>
      <c r="D28" s="169">
        <v>0</v>
      </c>
      <c r="E28" s="169">
        <v>0</v>
      </c>
      <c r="F28" s="169">
        <v>1.4303420000000001E-2</v>
      </c>
      <c r="G28" s="169">
        <v>0</v>
      </c>
      <c r="H28" s="180">
        <v>1.0882516E-2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27050963.212220997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25936462.865541998</v>
      </c>
      <c r="C32" s="60"/>
      <c r="D32" s="236"/>
      <c r="E32" s="60"/>
      <c r="F32" s="60"/>
      <c r="G32" s="60"/>
      <c r="H32" s="88"/>
      <c r="J32" s="249">
        <f>D40</f>
        <v>25834986.166542001</v>
      </c>
      <c r="K32" s="257" t="s">
        <v>61</v>
      </c>
    </row>
    <row r="33" spans="1:11" ht="24" customHeight="1" x14ac:dyDescent="0.2">
      <c r="A33" s="148" t="s">
        <v>49</v>
      </c>
      <c r="B33" s="200">
        <v>398562.74891999998</v>
      </c>
      <c r="C33" s="61"/>
      <c r="D33" s="236"/>
      <c r="E33" s="60"/>
      <c r="F33" s="60"/>
      <c r="G33" s="60"/>
      <c r="H33" s="88"/>
      <c r="J33" s="249">
        <f>D46</f>
        <v>1114500.346679</v>
      </c>
      <c r="K33" s="257" t="s">
        <v>60</v>
      </c>
    </row>
    <row r="34" spans="1:11" ht="18" customHeight="1" x14ac:dyDescent="0.2">
      <c r="A34" s="149" t="s">
        <v>24</v>
      </c>
      <c r="B34" s="200">
        <v>387717.52403999999</v>
      </c>
      <c r="C34" s="61"/>
      <c r="D34" s="236"/>
      <c r="E34" s="60"/>
      <c r="F34" s="60"/>
      <c r="G34" s="60"/>
      <c r="H34" s="88"/>
      <c r="J34" s="249">
        <v>101476.69899999999</v>
      </c>
      <c r="K34" s="257" t="s">
        <v>62</v>
      </c>
    </row>
    <row r="35" spans="1:11" ht="18" customHeight="1" x14ac:dyDescent="0.2">
      <c r="A35" s="150" t="s">
        <v>20</v>
      </c>
      <c r="B35" s="200">
        <v>82085.505499999999</v>
      </c>
      <c r="C35" s="61"/>
      <c r="D35" s="236"/>
      <c r="E35" s="60"/>
      <c r="F35" s="60"/>
      <c r="G35" s="60"/>
      <c r="H35" s="88"/>
      <c r="J35" s="267">
        <f>B31-J32-J33-J34</f>
        <v>-4.3946783989667892E-9</v>
      </c>
    </row>
    <row r="36" spans="1:11" ht="18" customHeight="1" x14ac:dyDescent="0.2">
      <c r="A36" s="150" t="s">
        <v>22</v>
      </c>
      <c r="B36" s="200">
        <v>195519.46448200001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50615.103736999998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25834986.166542009</v>
      </c>
      <c r="C40" s="249">
        <f>B32-B40-J34</f>
        <v>-1.021544449031353E-8</v>
      </c>
      <c r="D40" s="266">
        <v>25834986.166542001</v>
      </c>
      <c r="E40" s="249">
        <f>B40-D40</f>
        <v>0</v>
      </c>
    </row>
    <row r="41" spans="1:11" hidden="1" x14ac:dyDescent="0.2">
      <c r="A41" s="255" t="s">
        <v>49</v>
      </c>
      <c r="B41" s="249">
        <v>398562.74892000004</v>
      </c>
      <c r="C41" s="249">
        <f>B33-B41</f>
        <v>0</v>
      </c>
      <c r="D41" s="266">
        <v>398562.74891999998</v>
      </c>
      <c r="E41" s="249">
        <f>B41-D41</f>
        <v>0</v>
      </c>
    </row>
    <row r="42" spans="1:11" hidden="1" x14ac:dyDescent="0.2">
      <c r="A42" s="255" t="s">
        <v>24</v>
      </c>
      <c r="B42" s="249">
        <v>387717.52404000005</v>
      </c>
      <c r="C42" s="249">
        <f t="shared" ref="C42:C45" si="6">B34-B42</f>
        <v>0</v>
      </c>
      <c r="D42" s="266">
        <v>387717.52403999999</v>
      </c>
      <c r="E42" s="249">
        <f>B42-D42</f>
        <v>0</v>
      </c>
    </row>
    <row r="43" spans="1:11" hidden="1" x14ac:dyDescent="0.2">
      <c r="A43" s="255" t="s">
        <v>20</v>
      </c>
      <c r="B43" s="249">
        <v>82085.505499999999</v>
      </c>
      <c r="C43" s="249">
        <f t="shared" si="6"/>
        <v>0</v>
      </c>
      <c r="D43" s="266">
        <v>82085.505499999999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195519.46448200001</v>
      </c>
      <c r="C44" s="249">
        <f t="shared" si="6"/>
        <v>0</v>
      </c>
      <c r="D44" s="266">
        <v>195519.46448200001</v>
      </c>
      <c r="E44" s="249">
        <f>B44-D44</f>
        <v>0</v>
      </c>
    </row>
    <row r="45" spans="1:11" hidden="1" x14ac:dyDescent="0.2">
      <c r="A45" s="255" t="s">
        <v>42</v>
      </c>
      <c r="B45" s="249">
        <v>50615.103736999998</v>
      </c>
      <c r="C45" s="249">
        <f t="shared" si="6"/>
        <v>0</v>
      </c>
      <c r="D45" s="266">
        <v>50615.103736999998</v>
      </c>
      <c r="E45" s="249">
        <f t="shared" si="7"/>
        <v>0</v>
      </c>
    </row>
    <row r="46" spans="1:11" hidden="1" x14ac:dyDescent="0.2">
      <c r="B46" s="249">
        <f>SUM(B41:B45)</f>
        <v>1114500.346679</v>
      </c>
      <c r="C46" s="249">
        <f>SUM(C40:C45)</f>
        <v>-1.021544449031353E-8</v>
      </c>
      <c r="D46" s="259">
        <f>SUM(D41:D45)</f>
        <v>1114500.346679</v>
      </c>
      <c r="E46" s="249">
        <f>SUM(E40:E45)</f>
        <v>0</v>
      </c>
    </row>
    <row r="47" spans="1:11" hidden="1" x14ac:dyDescent="0.2">
      <c r="B47" s="267">
        <f>B46+B40+J34-B32</f>
        <v>1114500.3466790095</v>
      </c>
      <c r="C47" s="249"/>
      <c r="D47" s="259">
        <f>D46+D40</f>
        <v>26949486.513220999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E4E4-EE8C-42D4-B6A3-70C7A7FA048B}">
  <sheetPr>
    <tabColor rgb="FFCCFFFF"/>
    <pageSetUpPr fitToPage="1"/>
  </sheetPr>
  <dimension ref="A1:R54"/>
  <sheetViews>
    <sheetView zoomScale="87" zoomScaleNormal="87" workbookViewId="0">
      <selection activeCell="AB8" sqref="AB8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45231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6396927.9091389999</v>
      </c>
      <c r="C6" s="135">
        <f>SUM(C7:C10)</f>
        <v>25551.75</v>
      </c>
      <c r="D6" s="135">
        <f t="shared" ref="D6:H6" si="0">SUM(D7:D10)</f>
        <v>93939.492178999993</v>
      </c>
      <c r="E6" s="135">
        <f t="shared" si="0"/>
        <v>437627.14</v>
      </c>
      <c r="F6" s="135">
        <f t="shared" si="0"/>
        <v>2370086.3349799998</v>
      </c>
      <c r="G6" s="135">
        <f t="shared" si="0"/>
        <v>0</v>
      </c>
      <c r="H6" s="137">
        <f t="shared" si="0"/>
        <v>3469723.1919800001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6264837.1591389999</v>
      </c>
      <c r="C7" s="152">
        <v>0</v>
      </c>
      <c r="D7" s="152">
        <v>93939.492178999993</v>
      </c>
      <c r="E7" s="152">
        <v>437627.14</v>
      </c>
      <c r="F7" s="152">
        <v>2358533.3349799998</v>
      </c>
      <c r="G7" s="152">
        <v>0</v>
      </c>
      <c r="H7" s="196">
        <v>3374737.1919800001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103308</v>
      </c>
      <c r="C8" s="152">
        <v>0</v>
      </c>
      <c r="D8" s="152">
        <v>0</v>
      </c>
      <c r="E8" s="152">
        <v>0</v>
      </c>
      <c r="F8" s="152">
        <v>11553</v>
      </c>
      <c r="G8" s="152">
        <v>0</v>
      </c>
      <c r="H8" s="196">
        <v>91755</v>
      </c>
      <c r="J8" s="72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7" t="s">
        <v>48</v>
      </c>
      <c r="B9" s="166">
        <f t="shared" si="1"/>
        <v>3231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3231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25551.75</v>
      </c>
      <c r="C10" s="152">
        <v>25551.75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9240</v>
      </c>
      <c r="N10" s="75">
        <v>3619</v>
      </c>
      <c r="O10" s="75"/>
      <c r="P10" s="75"/>
      <c r="Q10" s="190">
        <v>12859</v>
      </c>
    </row>
    <row r="11" spans="1:18" ht="18" customHeight="1" x14ac:dyDescent="0.2">
      <c r="A11" s="176" t="s">
        <v>9</v>
      </c>
      <c r="B11" s="165">
        <f t="shared" si="1"/>
        <v>40364078.346700005</v>
      </c>
      <c r="C11" s="135">
        <f>SUM(C12:C15)</f>
        <v>236470.41</v>
      </c>
      <c r="D11" s="135">
        <f t="shared" ref="D11:H11" si="2">SUM(D12:D15)</f>
        <v>656152</v>
      </c>
      <c r="E11" s="135">
        <f t="shared" si="2"/>
        <v>115250</v>
      </c>
      <c r="F11" s="135">
        <f t="shared" si="2"/>
        <v>2793540.551</v>
      </c>
      <c r="G11" s="135">
        <f t="shared" si="2"/>
        <v>8680</v>
      </c>
      <c r="H11" s="137">
        <f t="shared" si="2"/>
        <v>36553985.385700002</v>
      </c>
      <c r="J11" s="268" t="s">
        <v>1</v>
      </c>
      <c r="K11" s="191">
        <v>0</v>
      </c>
      <c r="L11" s="191">
        <v>0</v>
      </c>
      <c r="M11" s="191">
        <v>9240</v>
      </c>
      <c r="N11" s="191">
        <v>3619</v>
      </c>
      <c r="O11" s="191">
        <v>0</v>
      </c>
      <c r="P11" s="191">
        <v>0</v>
      </c>
      <c r="Q11" s="191">
        <v>12859</v>
      </c>
    </row>
    <row r="12" spans="1:18" ht="18" customHeight="1" x14ac:dyDescent="0.2">
      <c r="A12" s="173" t="s">
        <v>46</v>
      </c>
      <c r="B12" s="166">
        <f t="shared" si="1"/>
        <v>38576589.186700001</v>
      </c>
      <c r="C12" s="152">
        <v>0</v>
      </c>
      <c r="D12" s="152">
        <v>656152</v>
      </c>
      <c r="E12" s="152">
        <v>115250</v>
      </c>
      <c r="F12" s="152">
        <v>2757860.551</v>
      </c>
      <c r="G12" s="152">
        <v>8680</v>
      </c>
      <c r="H12" s="196">
        <v>35038646.635700002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1462120.08</v>
      </c>
      <c r="C13" s="152">
        <v>0</v>
      </c>
      <c r="D13" s="152">
        <v>0</v>
      </c>
      <c r="E13" s="152">
        <v>0</v>
      </c>
      <c r="F13" s="152">
        <v>35680</v>
      </c>
      <c r="G13" s="152">
        <v>0</v>
      </c>
      <c r="H13" s="196">
        <v>1426440.08</v>
      </c>
      <c r="J13" s="269" t="s">
        <v>39</v>
      </c>
      <c r="K13" s="194">
        <v>0</v>
      </c>
      <c r="L13" s="194">
        <v>0</v>
      </c>
      <c r="M13" s="194">
        <v>9240</v>
      </c>
      <c r="N13" s="194">
        <v>3619</v>
      </c>
      <c r="O13" s="194">
        <v>0</v>
      </c>
      <c r="P13" s="194">
        <v>0</v>
      </c>
      <c r="Q13" s="195">
        <v>12859</v>
      </c>
      <c r="R13" s="105"/>
    </row>
    <row r="14" spans="1:18" ht="24" customHeight="1" x14ac:dyDescent="0.2">
      <c r="A14" s="177" t="s">
        <v>48</v>
      </c>
      <c r="B14" s="166">
        <f t="shared" si="1"/>
        <v>88898.67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88898.67</v>
      </c>
      <c r="Q14" s="32"/>
    </row>
    <row r="15" spans="1:18" ht="18" customHeight="1" x14ac:dyDescent="0.2">
      <c r="A15" s="173" t="s">
        <v>45</v>
      </c>
      <c r="B15" s="166">
        <f t="shared" si="1"/>
        <v>236470.41</v>
      </c>
      <c r="C15" s="152">
        <v>236470.41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57935963.929856002</v>
      </c>
      <c r="C16" s="135">
        <f>SUM(C17:C20)</f>
        <v>3449181.413311</v>
      </c>
      <c r="D16" s="135">
        <f t="shared" ref="D16:H16" si="3">SUM(D17:D20)</f>
        <v>13784750.863428</v>
      </c>
      <c r="E16" s="135">
        <f t="shared" si="3"/>
        <v>3027070.3645489998</v>
      </c>
      <c r="F16" s="135">
        <f t="shared" si="3"/>
        <v>25346605.304558001</v>
      </c>
      <c r="G16" s="135">
        <f t="shared" si="3"/>
        <v>325364.91277200001</v>
      </c>
      <c r="H16" s="137">
        <f t="shared" si="3"/>
        <v>12002991.071238</v>
      </c>
    </row>
    <row r="17" spans="1:14" ht="18" customHeight="1" x14ac:dyDescent="0.2">
      <c r="A17" s="173" t="s">
        <v>46</v>
      </c>
      <c r="B17" s="166">
        <f t="shared" si="1"/>
        <v>53349982.694023997</v>
      </c>
      <c r="C17" s="152">
        <v>0</v>
      </c>
      <c r="D17" s="152">
        <v>13784750.863428</v>
      </c>
      <c r="E17" s="152">
        <v>3022419.4284529998</v>
      </c>
      <c r="F17" s="152">
        <v>24698071.049741</v>
      </c>
      <c r="G17" s="152">
        <v>325364.91277200001</v>
      </c>
      <c r="H17" s="196">
        <f>11532235.43963-12859</f>
        <v>11519376.43963</v>
      </c>
      <c r="I17" s="11"/>
    </row>
    <row r="18" spans="1:14" ht="24" customHeight="1" x14ac:dyDescent="0.2">
      <c r="A18" s="177" t="s">
        <v>47</v>
      </c>
      <c r="B18" s="166">
        <f t="shared" si="1"/>
        <v>1042234.422521</v>
      </c>
      <c r="C18" s="152">
        <v>0</v>
      </c>
      <c r="D18" s="152">
        <v>0</v>
      </c>
      <c r="E18" s="152">
        <v>4650.9360960000004</v>
      </c>
      <c r="F18" s="152">
        <v>581517.65481700003</v>
      </c>
      <c r="G18" s="152">
        <v>0</v>
      </c>
      <c r="H18" s="196">
        <v>456065.83160799998</v>
      </c>
      <c r="J18" s="212"/>
    </row>
    <row r="19" spans="1:14" ht="24" customHeight="1" x14ac:dyDescent="0.2">
      <c r="A19" s="177" t="s">
        <v>48</v>
      </c>
      <c r="B19" s="166">
        <f t="shared" si="1"/>
        <v>94565.400000000009</v>
      </c>
      <c r="C19" s="152">
        <v>0</v>
      </c>
      <c r="D19" s="152">
        <v>0</v>
      </c>
      <c r="E19" s="152">
        <v>0</v>
      </c>
      <c r="F19" s="152">
        <v>67016.600000000006</v>
      </c>
      <c r="G19" s="152">
        <v>0</v>
      </c>
      <c r="H19" s="196">
        <v>27548.799999999999</v>
      </c>
      <c r="J19" s="212"/>
    </row>
    <row r="20" spans="1:14" ht="18" customHeight="1" x14ac:dyDescent="0.2">
      <c r="A20" s="173" t="s">
        <v>45</v>
      </c>
      <c r="B20" s="166">
        <f t="shared" si="1"/>
        <v>3449181.413311</v>
      </c>
      <c r="C20" s="152">
        <v>3449181.413311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104696970.18569501</v>
      </c>
      <c r="C21" s="135">
        <f>C6+C11+C16</f>
        <v>3711203.5733110001</v>
      </c>
      <c r="D21" s="135">
        <f t="shared" ref="D21:H21" si="4">D6+D11+D16</f>
        <v>14534842.355607001</v>
      </c>
      <c r="E21" s="135">
        <f t="shared" si="4"/>
        <v>3579947.5045489999</v>
      </c>
      <c r="F21" s="135">
        <f t="shared" si="4"/>
        <v>30510232.190538</v>
      </c>
      <c r="G21" s="135">
        <f t="shared" si="4"/>
        <v>334044.91277200001</v>
      </c>
      <c r="H21" s="137">
        <f t="shared" si="4"/>
        <v>52026699.648918003</v>
      </c>
      <c r="J21" s="249">
        <v>104709829.18569499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75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5302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10.165631953999998</v>
      </c>
      <c r="C25" s="144">
        <f>SUM(C26:C29)</f>
        <v>3.5820610450000001</v>
      </c>
      <c r="D25" s="144">
        <f t="shared" ref="D25:H25" si="5">SUM(D26:D29)</f>
        <v>0.58264683399999995</v>
      </c>
      <c r="E25" s="144">
        <f t="shared" si="5"/>
        <v>2.7924830000000001E-3</v>
      </c>
      <c r="F25" s="144">
        <f t="shared" si="5"/>
        <v>4.844305028</v>
      </c>
      <c r="G25" s="144">
        <f t="shared" si="5"/>
        <v>0.41194416299999997</v>
      </c>
      <c r="H25" s="145">
        <f t="shared" si="5"/>
        <v>0.74188240100000002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3.5820610450000001</v>
      </c>
      <c r="C26" s="169">
        <v>3.5820610450000001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74">
        <v>3.5820610450000001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6.5548797209999998</v>
      </c>
      <c r="C27" s="169">
        <v>0</v>
      </c>
      <c r="D27" s="169">
        <v>0.58264683399999995</v>
      </c>
      <c r="E27" s="169">
        <v>2.7924830000000001E-3</v>
      </c>
      <c r="F27" s="169">
        <v>4.8261012579999996</v>
      </c>
      <c r="G27" s="169">
        <v>0.41194416299999997</v>
      </c>
      <c r="H27" s="180">
        <v>0.73139498300000005</v>
      </c>
      <c r="J27" s="251">
        <v>6.5835709089999996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2.8691187999999999E-2</v>
      </c>
      <c r="C28" s="169">
        <v>0</v>
      </c>
      <c r="D28" s="169">
        <v>0</v>
      </c>
      <c r="E28" s="169">
        <v>0</v>
      </c>
      <c r="F28" s="169">
        <v>1.8203770000000001E-2</v>
      </c>
      <c r="G28" s="169">
        <v>0</v>
      </c>
      <c r="H28" s="180">
        <v>1.0487418E-2</v>
      </c>
      <c r="J28" s="276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25238030.882668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23971069.912142999</v>
      </c>
      <c r="C32" s="60"/>
      <c r="D32" s="236"/>
      <c r="E32" s="60"/>
      <c r="F32" s="60"/>
      <c r="G32" s="60"/>
      <c r="H32" s="88"/>
      <c r="J32" s="249">
        <f>D40</f>
        <v>23842394.412142981</v>
      </c>
      <c r="K32" s="257" t="s">
        <v>61</v>
      </c>
    </row>
    <row r="33" spans="1:11" ht="24" customHeight="1" x14ac:dyDescent="0.2">
      <c r="A33" s="148" t="s">
        <v>49</v>
      </c>
      <c r="B33" s="200">
        <v>406471.71090399998</v>
      </c>
      <c r="C33" s="61"/>
      <c r="D33" s="236"/>
      <c r="E33" s="60"/>
      <c r="F33" s="60"/>
      <c r="G33" s="60"/>
      <c r="H33" s="88"/>
      <c r="J33" s="249">
        <f>D46</f>
        <v>1266960.970525</v>
      </c>
      <c r="K33" s="257" t="s">
        <v>60</v>
      </c>
    </row>
    <row r="34" spans="1:11" ht="18" customHeight="1" x14ac:dyDescent="0.2">
      <c r="A34" s="149" t="s">
        <v>24</v>
      </c>
      <c r="B34" s="200">
        <v>526015.69680000003</v>
      </c>
      <c r="C34" s="61"/>
      <c r="D34" s="236"/>
      <c r="E34" s="60"/>
      <c r="F34" s="60"/>
      <c r="G34" s="60"/>
      <c r="H34" s="88"/>
      <c r="J34" s="249">
        <v>128675.5</v>
      </c>
      <c r="K34" s="257" t="s">
        <v>62</v>
      </c>
    </row>
    <row r="35" spans="1:11" ht="18" customHeight="1" x14ac:dyDescent="0.2">
      <c r="A35" s="150" t="s">
        <v>20</v>
      </c>
      <c r="B35" s="200">
        <v>124768.63099999999</v>
      </c>
      <c r="C35" s="61"/>
      <c r="D35" s="236"/>
      <c r="E35" s="60"/>
      <c r="F35" s="60"/>
      <c r="G35" s="60"/>
      <c r="H35" s="88"/>
      <c r="J35" s="275">
        <f>B31-J32-J33-J34</f>
        <v>1.885928213596344E-8</v>
      </c>
    </row>
    <row r="36" spans="1:11" ht="18" customHeight="1" x14ac:dyDescent="0.2">
      <c r="A36" s="150" t="s">
        <v>22</v>
      </c>
      <c r="B36" s="200">
        <v>171657.88182099999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38047.050000000003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23842394.412142981</v>
      </c>
      <c r="C40" s="249">
        <f>B32-B40-J34</f>
        <v>1.862645149230957E-8</v>
      </c>
      <c r="D40" s="266">
        <v>23842394.412142981</v>
      </c>
      <c r="E40" s="249">
        <f>B40-D40</f>
        <v>0</v>
      </c>
    </row>
    <row r="41" spans="1:11" hidden="1" x14ac:dyDescent="0.2">
      <c r="A41" s="255" t="s">
        <v>49</v>
      </c>
      <c r="B41" s="249">
        <v>406471.71090399998</v>
      </c>
      <c r="C41" s="249">
        <f>B33-B41</f>
        <v>0</v>
      </c>
      <c r="D41" s="266">
        <v>406471.71090399998</v>
      </c>
      <c r="E41" s="249">
        <f>B41-D41</f>
        <v>0</v>
      </c>
    </row>
    <row r="42" spans="1:11" hidden="1" x14ac:dyDescent="0.2">
      <c r="A42" s="255" t="s">
        <v>24</v>
      </c>
      <c r="B42" s="249">
        <v>526015.69680000038</v>
      </c>
      <c r="C42" s="249">
        <f t="shared" ref="C42:C45" si="6">B34-B42</f>
        <v>0</v>
      </c>
      <c r="D42" s="266">
        <v>526015.69680000003</v>
      </c>
      <c r="E42" s="249">
        <f>B42-D42</f>
        <v>0</v>
      </c>
    </row>
    <row r="43" spans="1:11" hidden="1" x14ac:dyDescent="0.2">
      <c r="A43" s="255" t="s">
        <v>20</v>
      </c>
      <c r="B43" s="249">
        <v>124768.63100000001</v>
      </c>
      <c r="C43" s="249">
        <f t="shared" si="6"/>
        <v>0</v>
      </c>
      <c r="D43" s="266">
        <v>124768.63099999999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171657.88182099996</v>
      </c>
      <c r="C44" s="249">
        <f t="shared" si="6"/>
        <v>0</v>
      </c>
      <c r="D44" s="266">
        <v>171657.88182099999</v>
      </c>
      <c r="E44" s="249">
        <f>B44-D44</f>
        <v>0</v>
      </c>
    </row>
    <row r="45" spans="1:11" hidden="1" x14ac:dyDescent="0.2">
      <c r="A45" s="255" t="s">
        <v>42</v>
      </c>
      <c r="B45" s="249">
        <v>38047.050000000003</v>
      </c>
      <c r="C45" s="249">
        <f t="shared" si="6"/>
        <v>0</v>
      </c>
      <c r="D45" s="266">
        <v>38047.050000000003</v>
      </c>
      <c r="E45" s="249">
        <f t="shared" si="7"/>
        <v>0</v>
      </c>
    </row>
    <row r="46" spans="1:11" hidden="1" x14ac:dyDescent="0.2">
      <c r="B46" s="249">
        <f>SUM(B41:B45)</f>
        <v>1266960.9705250005</v>
      </c>
      <c r="C46" s="249">
        <f>SUM(C40:C45)</f>
        <v>1.862645149230957E-8</v>
      </c>
      <c r="D46" s="259">
        <f>SUM(D41:D45)</f>
        <v>1266960.970525</v>
      </c>
      <c r="E46" s="249">
        <f>SUM(E40:E45)</f>
        <v>0</v>
      </c>
    </row>
    <row r="47" spans="1:11" hidden="1" x14ac:dyDescent="0.2">
      <c r="B47" s="267">
        <f>B46+B40+J34-B32</f>
        <v>1266960.9705249816</v>
      </c>
      <c r="C47" s="249"/>
      <c r="D47" s="259">
        <f>D46+D40</f>
        <v>25109355.382667981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A4AD-A5A8-4191-83E1-A45C16A37C58}">
  <sheetPr>
    <tabColor rgb="FFCCFFFF"/>
    <pageSetUpPr fitToPage="1"/>
  </sheetPr>
  <dimension ref="A1:R54"/>
  <sheetViews>
    <sheetView zoomScale="87" zoomScaleNormal="87" workbookViewId="0">
      <selection activeCell="AA21" sqref="AA2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91" hidden="1" customWidth="1"/>
    <col min="11" max="11" width="8.140625" hidden="1" customWidth="1"/>
    <col min="12" max="17" width="7.28515625" hidden="1" customWidth="1"/>
    <col min="18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45261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7828648.3902669996</v>
      </c>
      <c r="C6" s="135">
        <f>SUM(C7:C10)</f>
        <v>24448.799999999999</v>
      </c>
      <c r="D6" s="135">
        <f t="shared" ref="D6:H6" si="0">SUM(D7:D10)</f>
        <v>131130.80980700001</v>
      </c>
      <c r="E6" s="135">
        <f t="shared" si="0"/>
        <v>470651.96</v>
      </c>
      <c r="F6" s="135">
        <f t="shared" si="0"/>
        <v>3192078.9225099999</v>
      </c>
      <c r="G6" s="135">
        <f t="shared" si="0"/>
        <v>0</v>
      </c>
      <c r="H6" s="137">
        <f t="shared" si="0"/>
        <v>4010337.8979500001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7701857.5902670007</v>
      </c>
      <c r="C7" s="152">
        <v>0</v>
      </c>
      <c r="D7" s="152">
        <v>131130.80980700001</v>
      </c>
      <c r="E7" s="152">
        <v>470651.96</v>
      </c>
      <c r="F7" s="152">
        <v>3179782.9225099999</v>
      </c>
      <c r="G7" s="152">
        <v>0</v>
      </c>
      <c r="H7" s="196">
        <v>3920291.8979500001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98467</v>
      </c>
      <c r="C8" s="152">
        <v>0</v>
      </c>
      <c r="D8" s="152">
        <v>0</v>
      </c>
      <c r="E8" s="152">
        <v>0</v>
      </c>
      <c r="F8" s="152">
        <v>12296</v>
      </c>
      <c r="G8" s="152">
        <v>0</v>
      </c>
      <c r="H8" s="196">
        <v>86171</v>
      </c>
      <c r="J8" s="72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7" t="s">
        <v>48</v>
      </c>
      <c r="B9" s="166">
        <f t="shared" si="1"/>
        <v>3875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3875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24448.799999999999</v>
      </c>
      <c r="C10" s="152">
        <v>24448.799999999999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9162</v>
      </c>
      <c r="N10" s="75">
        <v>2702</v>
      </c>
      <c r="O10" s="75"/>
      <c r="P10" s="75"/>
      <c r="Q10" s="190">
        <v>11864</v>
      </c>
    </row>
    <row r="11" spans="1:18" ht="18" customHeight="1" x14ac:dyDescent="0.2">
      <c r="A11" s="176" t="s">
        <v>9</v>
      </c>
      <c r="B11" s="165">
        <f t="shared" si="1"/>
        <v>42708536.345300004</v>
      </c>
      <c r="C11" s="135">
        <f>SUM(C12:C15)</f>
        <v>287563.21000000002</v>
      </c>
      <c r="D11" s="135">
        <f t="shared" ref="D11:H11" si="2">SUM(D12:D15)</f>
        <v>703794</v>
      </c>
      <c r="E11" s="135">
        <f t="shared" si="2"/>
        <v>125365</v>
      </c>
      <c r="F11" s="135">
        <f t="shared" si="2"/>
        <v>3030608.9811</v>
      </c>
      <c r="G11" s="135">
        <f t="shared" si="2"/>
        <v>9160</v>
      </c>
      <c r="H11" s="137">
        <f t="shared" si="2"/>
        <v>38552045.154200003</v>
      </c>
      <c r="J11" s="268" t="s">
        <v>1</v>
      </c>
      <c r="K11" s="191">
        <v>0</v>
      </c>
      <c r="L11" s="191">
        <v>0</v>
      </c>
      <c r="M11" s="191">
        <v>9162</v>
      </c>
      <c r="N11" s="191">
        <v>2702</v>
      </c>
      <c r="O11" s="191">
        <v>0</v>
      </c>
      <c r="P11" s="191">
        <v>0</v>
      </c>
      <c r="Q11" s="190">
        <v>11864</v>
      </c>
    </row>
    <row r="12" spans="1:18" ht="18" customHeight="1" x14ac:dyDescent="0.2">
      <c r="A12" s="173" t="s">
        <v>46</v>
      </c>
      <c r="B12" s="166">
        <f t="shared" si="1"/>
        <v>40851083.465300001</v>
      </c>
      <c r="C12" s="152">
        <v>0</v>
      </c>
      <c r="D12" s="152">
        <v>703794</v>
      </c>
      <c r="E12" s="152">
        <v>125365</v>
      </c>
      <c r="F12" s="152">
        <v>2996443.9811</v>
      </c>
      <c r="G12" s="152">
        <v>9160</v>
      </c>
      <c r="H12" s="196">
        <v>37016320.484200001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1481014.02</v>
      </c>
      <c r="C13" s="152">
        <v>0</v>
      </c>
      <c r="D13" s="152">
        <v>0</v>
      </c>
      <c r="E13" s="152">
        <v>0</v>
      </c>
      <c r="F13" s="152">
        <v>34165</v>
      </c>
      <c r="G13" s="152">
        <v>0</v>
      </c>
      <c r="H13" s="196">
        <v>1446849.02</v>
      </c>
      <c r="J13" s="269" t="s">
        <v>39</v>
      </c>
      <c r="K13" s="194">
        <v>0</v>
      </c>
      <c r="L13" s="194">
        <v>0</v>
      </c>
      <c r="M13" s="194">
        <v>9162</v>
      </c>
      <c r="N13" s="194">
        <v>2702</v>
      </c>
      <c r="O13" s="194">
        <v>0</v>
      </c>
      <c r="P13" s="194">
        <v>0</v>
      </c>
      <c r="Q13" s="194">
        <v>11864</v>
      </c>
      <c r="R13" s="105"/>
    </row>
    <row r="14" spans="1:18" ht="24" customHeight="1" x14ac:dyDescent="0.2">
      <c r="A14" s="177" t="s">
        <v>48</v>
      </c>
      <c r="B14" s="166">
        <f t="shared" si="1"/>
        <v>88875.65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88875.65</v>
      </c>
      <c r="Q14" s="32"/>
    </row>
    <row r="15" spans="1:18" ht="18" customHeight="1" x14ac:dyDescent="0.2">
      <c r="A15" s="173" t="s">
        <v>45</v>
      </c>
      <c r="B15" s="166">
        <f t="shared" si="1"/>
        <v>287563.21000000002</v>
      </c>
      <c r="C15" s="152">
        <v>287563.21000000002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62928834.279511996</v>
      </c>
      <c r="C16" s="135">
        <f>SUM(C17:C20)</f>
        <v>4233628.9675550004</v>
      </c>
      <c r="D16" s="135">
        <f t="shared" ref="D16:H16" si="3">SUM(D17:D20)</f>
        <v>15126766.083655</v>
      </c>
      <c r="E16" s="135">
        <f t="shared" si="3"/>
        <v>4842016.5979709998</v>
      </c>
      <c r="F16" s="135">
        <f t="shared" si="3"/>
        <v>25891271.119312998</v>
      </c>
      <c r="G16" s="135">
        <f t="shared" si="3"/>
        <v>554172.75737500004</v>
      </c>
      <c r="H16" s="137">
        <f t="shared" si="3"/>
        <v>12280978.753643</v>
      </c>
    </row>
    <row r="17" spans="1:14" ht="18" customHeight="1" x14ac:dyDescent="0.2">
      <c r="A17" s="173" t="s">
        <v>46</v>
      </c>
      <c r="B17" s="166">
        <f t="shared" si="1"/>
        <v>57602921.978093006</v>
      </c>
      <c r="C17" s="152">
        <v>0</v>
      </c>
      <c r="D17" s="152">
        <v>15126766.083655</v>
      </c>
      <c r="E17" s="152">
        <v>4791278.7623779997</v>
      </c>
      <c r="F17" s="152">
        <v>25372193.076207001</v>
      </c>
      <c r="G17" s="152">
        <v>554172.75737500004</v>
      </c>
      <c r="H17" s="196">
        <f>11770375.298478-11864</f>
        <v>11758511.298478</v>
      </c>
      <c r="I17" s="11"/>
    </row>
    <row r="18" spans="1:14" ht="24" customHeight="1" x14ac:dyDescent="0.2">
      <c r="A18" s="177" t="s">
        <v>47</v>
      </c>
      <c r="B18" s="166">
        <f t="shared" si="1"/>
        <v>993318.17386400001</v>
      </c>
      <c r="C18" s="152">
        <v>0</v>
      </c>
      <c r="D18" s="152">
        <v>0</v>
      </c>
      <c r="E18" s="152">
        <v>50737.835593000003</v>
      </c>
      <c r="F18" s="152">
        <v>447164.64310599997</v>
      </c>
      <c r="G18" s="152">
        <v>0</v>
      </c>
      <c r="H18" s="196">
        <v>495415.69516499998</v>
      </c>
      <c r="J18" s="212"/>
    </row>
    <row r="19" spans="1:14" ht="24" customHeight="1" x14ac:dyDescent="0.2">
      <c r="A19" s="177" t="s">
        <v>48</v>
      </c>
      <c r="B19" s="166">
        <f t="shared" si="1"/>
        <v>98965.159999999989</v>
      </c>
      <c r="C19" s="152">
        <v>0</v>
      </c>
      <c r="D19" s="152">
        <v>0</v>
      </c>
      <c r="E19" s="152">
        <v>0</v>
      </c>
      <c r="F19" s="152">
        <v>71913.399999999994</v>
      </c>
      <c r="G19" s="152">
        <v>0</v>
      </c>
      <c r="H19" s="196">
        <v>27051.759999999998</v>
      </c>
      <c r="J19" s="212"/>
    </row>
    <row r="20" spans="1:14" ht="18" customHeight="1" x14ac:dyDescent="0.2">
      <c r="A20" s="173" t="s">
        <v>45</v>
      </c>
      <c r="B20" s="166">
        <f t="shared" si="1"/>
        <v>4233628.9675550004</v>
      </c>
      <c r="C20" s="152">
        <v>4233628.9675550004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113466019.01507899</v>
      </c>
      <c r="C21" s="135">
        <f>C6+C11+C16</f>
        <v>4545640.9775550002</v>
      </c>
      <c r="D21" s="135">
        <f t="shared" ref="D21:H21" si="4">D6+D11+D16</f>
        <v>15961690.893462</v>
      </c>
      <c r="E21" s="135">
        <f t="shared" si="4"/>
        <v>5438033.5579709997</v>
      </c>
      <c r="F21" s="135">
        <f t="shared" si="4"/>
        <v>32113959.022923</v>
      </c>
      <c r="G21" s="135">
        <f t="shared" si="4"/>
        <v>563332.75737500004</v>
      </c>
      <c r="H21" s="137">
        <f t="shared" si="4"/>
        <v>54843361.805793002</v>
      </c>
      <c r="J21" s="249">
        <v>113477883.01507901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75">
        <f>B21-J21+Q13</f>
        <v>-1.4901161193847656E-8</v>
      </c>
      <c r="K22" s="255"/>
    </row>
    <row r="23" spans="1:14" ht="18" customHeight="1" thickBot="1" x14ac:dyDescent="0.25">
      <c r="A23" s="185" t="s">
        <v>14</v>
      </c>
      <c r="B23" s="214">
        <v>8698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9.8677823079999989</v>
      </c>
      <c r="C25" s="144">
        <f>SUM(C26:C29)</f>
        <v>3.7848639980000001</v>
      </c>
      <c r="D25" s="144">
        <f t="shared" ref="D25:H25" si="5">SUM(D26:D29)</f>
        <v>0.56911707499999997</v>
      </c>
      <c r="E25" s="144">
        <f t="shared" si="5"/>
        <v>3.6219020000000002E-3</v>
      </c>
      <c r="F25" s="144">
        <f t="shared" si="5"/>
        <v>4.3182372110000005</v>
      </c>
      <c r="G25" s="144">
        <f t="shared" si="5"/>
        <v>0.46202318399999998</v>
      </c>
      <c r="H25" s="145">
        <f t="shared" si="5"/>
        <v>0.72991893799999996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3.7848639980000001</v>
      </c>
      <c r="C26" s="169">
        <v>3.7848639980000001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74">
        <v>3.7848639980000001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6.0512427559999997</v>
      </c>
      <c r="C27" s="169">
        <v>0</v>
      </c>
      <c r="D27" s="169">
        <v>0.56911707499999997</v>
      </c>
      <c r="E27" s="169">
        <v>3.6219020000000002E-3</v>
      </c>
      <c r="F27" s="169">
        <v>4.2967268650000001</v>
      </c>
      <c r="G27" s="169">
        <v>0.46202318399999998</v>
      </c>
      <c r="H27" s="180">
        <v>0.71975372999999998</v>
      </c>
      <c r="J27" s="251">
        <v>6.0829183100000002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3.1675554000000002E-2</v>
      </c>
      <c r="C28" s="169">
        <v>0</v>
      </c>
      <c r="D28" s="169">
        <v>0</v>
      </c>
      <c r="E28" s="169">
        <v>0</v>
      </c>
      <c r="F28" s="169">
        <v>2.1510346E-2</v>
      </c>
      <c r="G28" s="169">
        <v>0</v>
      </c>
      <c r="H28" s="180">
        <v>1.0165208E-2</v>
      </c>
      <c r="J28" s="276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31824126.615938004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30217799.592695002</v>
      </c>
      <c r="C32" s="60"/>
      <c r="D32" s="236"/>
      <c r="E32" s="60"/>
      <c r="F32" s="60"/>
      <c r="G32" s="60"/>
      <c r="H32" s="88"/>
      <c r="J32" s="249">
        <f>D40</f>
        <v>30573112.707695</v>
      </c>
      <c r="K32" s="257" t="s">
        <v>61</v>
      </c>
    </row>
    <row r="33" spans="1:11" ht="24" customHeight="1" x14ac:dyDescent="0.2">
      <c r="A33" s="148" t="s">
        <v>49</v>
      </c>
      <c r="B33" s="200">
        <v>397046.46045000001</v>
      </c>
      <c r="C33" s="61"/>
      <c r="D33" s="236"/>
      <c r="E33" s="60"/>
      <c r="F33" s="60"/>
      <c r="G33" s="60"/>
      <c r="H33" s="88"/>
      <c r="J33" s="249">
        <f>D46</f>
        <v>1606327.023243</v>
      </c>
      <c r="K33" s="257" t="s">
        <v>60</v>
      </c>
    </row>
    <row r="34" spans="1:11" ht="18" customHeight="1" x14ac:dyDescent="0.2">
      <c r="A34" s="149" t="s">
        <v>24</v>
      </c>
      <c r="B34" s="200">
        <v>615447.97360000003</v>
      </c>
      <c r="C34" s="61"/>
      <c r="D34" s="236"/>
      <c r="E34" s="60"/>
      <c r="F34" s="60"/>
      <c r="G34" s="60"/>
      <c r="H34" s="88"/>
      <c r="J34" s="249">
        <v>-355313.11499999999</v>
      </c>
      <c r="K34" s="257" t="s">
        <v>62</v>
      </c>
    </row>
    <row r="35" spans="1:11" ht="18" customHeight="1" x14ac:dyDescent="0.2">
      <c r="A35" s="150" t="s">
        <v>20</v>
      </c>
      <c r="B35" s="200">
        <v>300921.99699999997</v>
      </c>
      <c r="C35" s="61"/>
      <c r="D35" s="236"/>
      <c r="E35" s="60"/>
      <c r="F35" s="60"/>
      <c r="G35" s="60"/>
      <c r="H35" s="88"/>
      <c r="J35" s="275">
        <f>B31-J32-J33-J34</f>
        <v>4.1909515857696533E-9</v>
      </c>
    </row>
    <row r="36" spans="1:11" ht="18" customHeight="1" x14ac:dyDescent="0.2">
      <c r="A36" s="150" t="s">
        <v>22</v>
      </c>
      <c r="B36" s="200">
        <v>221762.69019299999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71147.902000000002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60">
        <v>30573112.707694996</v>
      </c>
      <c r="C40" s="249">
        <f>B32-B40-J34</f>
        <v>5.3551048040390015E-9</v>
      </c>
      <c r="D40" s="266">
        <v>30573112.707695</v>
      </c>
      <c r="E40" s="249">
        <f>B40-D40</f>
        <v>0</v>
      </c>
    </row>
    <row r="41" spans="1:11" hidden="1" x14ac:dyDescent="0.2">
      <c r="A41" s="255" t="s">
        <v>49</v>
      </c>
      <c r="B41" s="249">
        <v>397046.46044999996</v>
      </c>
      <c r="C41" s="249">
        <f>B33-B41</f>
        <v>0</v>
      </c>
      <c r="D41" s="266">
        <v>397046.46045000001</v>
      </c>
      <c r="E41" s="249">
        <f>B41-D41</f>
        <v>0</v>
      </c>
    </row>
    <row r="42" spans="1:11" hidden="1" x14ac:dyDescent="0.2">
      <c r="A42" s="255" t="s">
        <v>24</v>
      </c>
      <c r="B42" s="249">
        <v>615447.97360000003</v>
      </c>
      <c r="C42" s="249">
        <f t="shared" ref="C42:C45" si="6">B34-B42</f>
        <v>0</v>
      </c>
      <c r="D42" s="266">
        <v>615447.97360000003</v>
      </c>
      <c r="E42" s="249">
        <f>B42-D42</f>
        <v>0</v>
      </c>
    </row>
    <row r="43" spans="1:11" hidden="1" x14ac:dyDescent="0.2">
      <c r="A43" s="255" t="s">
        <v>20</v>
      </c>
      <c r="B43" s="249">
        <v>300921.99699999997</v>
      </c>
      <c r="C43" s="249">
        <f t="shared" si="6"/>
        <v>0</v>
      </c>
      <c r="D43" s="266">
        <v>300921.99699999997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221762.69019300002</v>
      </c>
      <c r="C44" s="249">
        <f t="shared" si="6"/>
        <v>0</v>
      </c>
      <c r="D44" s="266">
        <v>221762.69019299999</v>
      </c>
      <c r="E44" s="249">
        <f>B44-D44</f>
        <v>0</v>
      </c>
    </row>
    <row r="45" spans="1:11" hidden="1" x14ac:dyDescent="0.2">
      <c r="A45" s="255" t="s">
        <v>42</v>
      </c>
      <c r="B45" s="249">
        <v>71147.902000000002</v>
      </c>
      <c r="C45" s="249">
        <f t="shared" si="6"/>
        <v>0</v>
      </c>
      <c r="D45" s="266">
        <v>71147.902000000002</v>
      </c>
      <c r="E45" s="249">
        <f t="shared" si="7"/>
        <v>0</v>
      </c>
    </row>
    <row r="46" spans="1:11" hidden="1" x14ac:dyDescent="0.2">
      <c r="B46" s="249">
        <f>SUM(B41:B45)</f>
        <v>1606327.023243</v>
      </c>
      <c r="C46" s="249">
        <f>SUM(C40:C45)</f>
        <v>5.3551048040390015E-9</v>
      </c>
      <c r="D46" s="259">
        <f>SUM(D41:D45)</f>
        <v>1606327.023243</v>
      </c>
      <c r="E46" s="249">
        <f>SUM(E40:E45)</f>
        <v>0</v>
      </c>
    </row>
    <row r="47" spans="1:11" hidden="1" x14ac:dyDescent="0.2">
      <c r="B47" s="267">
        <f>B46+B40+J34-B32</f>
        <v>1606327.0232429951</v>
      </c>
      <c r="C47" s="249"/>
      <c r="D47" s="259">
        <f>D46+D40</f>
        <v>32179439.730937999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  <row r="53" spans="2:2" x14ac:dyDescent="0.2">
      <c r="B53" s="206"/>
    </row>
    <row r="54" spans="2:2" x14ac:dyDescent="0.2">
      <c r="B54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W8" sqref="W8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9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45292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7579883.4660090003</v>
      </c>
      <c r="C6" s="135">
        <f>SUM(C7:C10)</f>
        <v>25326.17</v>
      </c>
      <c r="D6" s="135">
        <f t="shared" ref="D6:H6" si="0">SUM(D7:D10)</f>
        <v>95571.053849000004</v>
      </c>
      <c r="E6" s="135">
        <f t="shared" si="0"/>
        <v>469287.74</v>
      </c>
      <c r="F6" s="135">
        <f t="shared" si="0"/>
        <v>2709511.8585199998</v>
      </c>
      <c r="G6" s="135">
        <f t="shared" si="0"/>
        <v>0</v>
      </c>
      <c r="H6" s="137">
        <f t="shared" si="0"/>
        <v>4280186.6436400004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7421948.2960090004</v>
      </c>
      <c r="C7" s="152">
        <v>0</v>
      </c>
      <c r="D7" s="152">
        <v>95571.053849000004</v>
      </c>
      <c r="E7" s="152">
        <v>469287.74</v>
      </c>
      <c r="F7" s="152">
        <v>2694630.8585199998</v>
      </c>
      <c r="G7" s="152">
        <v>0</v>
      </c>
      <c r="H7" s="196">
        <v>4162458.6436399999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128495</v>
      </c>
      <c r="C8" s="152">
        <v>0</v>
      </c>
      <c r="D8" s="152">
        <v>0</v>
      </c>
      <c r="E8" s="152">
        <v>0</v>
      </c>
      <c r="F8" s="152">
        <v>14881</v>
      </c>
      <c r="G8" s="152">
        <v>0</v>
      </c>
      <c r="H8" s="196">
        <v>113614</v>
      </c>
      <c r="J8" s="72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7" t="s">
        <v>48</v>
      </c>
      <c r="B9" s="166">
        <f t="shared" si="1"/>
        <v>4114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4114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25326.17</v>
      </c>
      <c r="C10" s="152">
        <v>25326.17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9564</v>
      </c>
      <c r="N10" s="75">
        <v>3694</v>
      </c>
      <c r="O10" s="75"/>
      <c r="P10" s="75"/>
      <c r="Q10" s="190">
        <v>13258</v>
      </c>
    </row>
    <row r="11" spans="1:18" ht="18" customHeight="1" x14ac:dyDescent="0.2">
      <c r="A11" s="176" t="s">
        <v>9</v>
      </c>
      <c r="B11" s="165">
        <f t="shared" si="1"/>
        <v>43227554.887700006</v>
      </c>
      <c r="C11" s="135">
        <f>SUM(C12:C15)</f>
        <v>325178.61</v>
      </c>
      <c r="D11" s="135">
        <f t="shared" ref="D11:H11" si="2">SUM(D12:D15)</f>
        <v>726962.56</v>
      </c>
      <c r="E11" s="135">
        <f t="shared" si="2"/>
        <v>142348</v>
      </c>
      <c r="F11" s="135">
        <f t="shared" si="2"/>
        <v>3315736.8025000002</v>
      </c>
      <c r="G11" s="135">
        <f t="shared" si="2"/>
        <v>9560</v>
      </c>
      <c r="H11" s="137">
        <f t="shared" si="2"/>
        <v>38707768.915200002</v>
      </c>
      <c r="J11" s="268" t="s">
        <v>1</v>
      </c>
      <c r="K11" s="191">
        <v>0</v>
      </c>
      <c r="L11" s="191">
        <v>0</v>
      </c>
      <c r="M11" s="191">
        <v>9564</v>
      </c>
      <c r="N11" s="191">
        <v>3694</v>
      </c>
      <c r="O11" s="191">
        <v>0</v>
      </c>
      <c r="P11" s="191">
        <v>0</v>
      </c>
      <c r="Q11" s="191">
        <v>13258</v>
      </c>
    </row>
    <row r="12" spans="1:18" ht="18" customHeight="1" x14ac:dyDescent="0.2">
      <c r="A12" s="173" t="s">
        <v>46</v>
      </c>
      <c r="B12" s="166">
        <f t="shared" si="1"/>
        <v>41137367.647699997</v>
      </c>
      <c r="C12" s="152">
        <v>0</v>
      </c>
      <c r="D12" s="152">
        <v>726962.56</v>
      </c>
      <c r="E12" s="152">
        <v>142348</v>
      </c>
      <c r="F12" s="152">
        <v>3277644.8025000002</v>
      </c>
      <c r="G12" s="152">
        <v>9560</v>
      </c>
      <c r="H12" s="196">
        <v>36980852.2852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1672933.96</v>
      </c>
      <c r="C13" s="152">
        <v>0</v>
      </c>
      <c r="D13" s="152">
        <v>0</v>
      </c>
      <c r="E13" s="152">
        <v>0</v>
      </c>
      <c r="F13" s="152">
        <v>38092</v>
      </c>
      <c r="G13" s="152">
        <v>0</v>
      </c>
      <c r="H13" s="196">
        <v>1634841.96</v>
      </c>
      <c r="J13" s="269" t="s">
        <v>39</v>
      </c>
      <c r="K13" s="194">
        <v>0</v>
      </c>
      <c r="L13" s="194">
        <v>0</v>
      </c>
      <c r="M13" s="194">
        <v>9564</v>
      </c>
      <c r="N13" s="194">
        <v>3694</v>
      </c>
      <c r="O13" s="194">
        <v>0</v>
      </c>
      <c r="P13" s="194">
        <v>0</v>
      </c>
      <c r="Q13" s="194">
        <v>13258</v>
      </c>
      <c r="R13" s="105"/>
    </row>
    <row r="14" spans="1:18" ht="24" customHeight="1" x14ac:dyDescent="0.2">
      <c r="A14" s="177" t="s">
        <v>48</v>
      </c>
      <c r="B14" s="166">
        <f t="shared" si="1"/>
        <v>92074.67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92074.67</v>
      </c>
      <c r="Q14" s="32"/>
    </row>
    <row r="15" spans="1:18" ht="18" customHeight="1" x14ac:dyDescent="0.2">
      <c r="A15" s="173" t="s">
        <v>45</v>
      </c>
      <c r="B15" s="166">
        <f t="shared" si="1"/>
        <v>325178.61</v>
      </c>
      <c r="C15" s="152">
        <v>325178.61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58663333.261862993</v>
      </c>
      <c r="C16" s="135">
        <f>SUM(C17:C20)</f>
        <v>4134634.916919</v>
      </c>
      <c r="D16" s="135">
        <f t="shared" ref="D16:H16" si="3">SUM(D17:D20)</f>
        <v>14903351.337117</v>
      </c>
      <c r="E16" s="135">
        <f t="shared" si="3"/>
        <v>3725247.0453570001</v>
      </c>
      <c r="F16" s="135">
        <f t="shared" si="3"/>
        <v>23374800.406096999</v>
      </c>
      <c r="G16" s="135">
        <f t="shared" si="3"/>
        <v>278131.80358200002</v>
      </c>
      <c r="H16" s="137">
        <f t="shared" si="3"/>
        <v>12247167.752791001</v>
      </c>
    </row>
    <row r="17" spans="1:14" ht="18" customHeight="1" x14ac:dyDescent="0.2">
      <c r="A17" s="173" t="s">
        <v>46</v>
      </c>
      <c r="B17" s="166">
        <f t="shared" si="1"/>
        <v>53484695.724313997</v>
      </c>
      <c r="C17" s="152">
        <v>0</v>
      </c>
      <c r="D17" s="152">
        <v>14903351.337117</v>
      </c>
      <c r="E17" s="152">
        <v>3706140.5292750001</v>
      </c>
      <c r="F17" s="152">
        <v>22890745.830747999</v>
      </c>
      <c r="G17" s="152">
        <v>278131.80358200002</v>
      </c>
      <c r="H17" s="196">
        <f>11719584.223592-13258</f>
        <v>11706326.223592</v>
      </c>
      <c r="I17" s="11"/>
    </row>
    <row r="18" spans="1:14" ht="24" customHeight="1" x14ac:dyDescent="0.2">
      <c r="A18" s="177" t="s">
        <v>47</v>
      </c>
      <c r="B18" s="166">
        <f t="shared" si="1"/>
        <v>938507.56062999996</v>
      </c>
      <c r="C18" s="152">
        <v>0</v>
      </c>
      <c r="D18" s="152">
        <v>0</v>
      </c>
      <c r="E18" s="152">
        <v>19106.516081999998</v>
      </c>
      <c r="F18" s="152">
        <v>406583.57534899999</v>
      </c>
      <c r="G18" s="152">
        <v>0</v>
      </c>
      <c r="H18" s="196">
        <v>512817.46919899998</v>
      </c>
      <c r="J18" s="212"/>
    </row>
    <row r="19" spans="1:14" ht="24" customHeight="1" x14ac:dyDescent="0.2">
      <c r="A19" s="177" t="s">
        <v>48</v>
      </c>
      <c r="B19" s="166">
        <f t="shared" si="1"/>
        <v>105495.06</v>
      </c>
      <c r="C19" s="152">
        <v>0</v>
      </c>
      <c r="D19" s="152">
        <v>0</v>
      </c>
      <c r="E19" s="152">
        <v>0</v>
      </c>
      <c r="F19" s="152">
        <v>77471</v>
      </c>
      <c r="G19" s="152">
        <v>0</v>
      </c>
      <c r="H19" s="196">
        <v>28024.06</v>
      </c>
      <c r="J19" s="212"/>
    </row>
    <row r="20" spans="1:14" ht="18" customHeight="1" x14ac:dyDescent="0.2">
      <c r="A20" s="173" t="s">
        <v>45</v>
      </c>
      <c r="B20" s="166">
        <f t="shared" si="1"/>
        <v>4134634.916919</v>
      </c>
      <c r="C20" s="152">
        <v>4134634.916919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109470771.61557201</v>
      </c>
      <c r="C21" s="135">
        <f>C6+C11+C16</f>
        <v>4485139.6969189998</v>
      </c>
      <c r="D21" s="135">
        <f t="shared" ref="D21:H21" si="4">D6+D11+D16</f>
        <v>15725884.950966001</v>
      </c>
      <c r="E21" s="135">
        <f t="shared" si="4"/>
        <v>4336882.7853570003</v>
      </c>
      <c r="F21" s="135">
        <f t="shared" si="4"/>
        <v>29400049.067116998</v>
      </c>
      <c r="G21" s="135">
        <f t="shared" si="4"/>
        <v>287691.80358200002</v>
      </c>
      <c r="H21" s="137">
        <f t="shared" si="4"/>
        <v>55235123.311631009</v>
      </c>
      <c r="J21" s="249">
        <v>109484029.61557199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75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6293</v>
      </c>
      <c r="C23" s="204"/>
      <c r="D23" s="160"/>
      <c r="E23" s="160"/>
      <c r="F23" s="160"/>
      <c r="G23" s="160"/>
      <c r="H23" s="205"/>
      <c r="J23" s="120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9.5845976629999985</v>
      </c>
      <c r="C25" s="144">
        <f>SUM(C26:C29)</f>
        <v>3.8703902349999999</v>
      </c>
      <c r="D25" s="144">
        <f t="shared" ref="D25:H25" si="5">SUM(D26:D29)</f>
        <v>0.20211773099999999</v>
      </c>
      <c r="E25" s="144">
        <f t="shared" si="5"/>
        <v>3.3207060000000001E-3</v>
      </c>
      <c r="F25" s="144">
        <f t="shared" si="5"/>
        <v>4.3866609929999996</v>
      </c>
      <c r="G25" s="144">
        <f t="shared" si="5"/>
        <v>0.31296623800000001</v>
      </c>
      <c r="H25" s="145">
        <f t="shared" si="5"/>
        <v>0.80914176000000004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3.8703902349999999</v>
      </c>
      <c r="C26" s="169">
        <v>3.8703902349999999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74">
        <v>3.8703902349999999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5.6800963480000002</v>
      </c>
      <c r="C27" s="169">
        <v>0</v>
      </c>
      <c r="D27" s="169">
        <v>0.20211773099999999</v>
      </c>
      <c r="E27" s="169">
        <v>3.3207060000000001E-3</v>
      </c>
      <c r="F27" s="169">
        <v>4.3631168689999997</v>
      </c>
      <c r="G27" s="169">
        <v>0.31296623800000001</v>
      </c>
      <c r="H27" s="180">
        <v>0.79857480400000003</v>
      </c>
      <c r="J27" s="251">
        <v>5.7142074279999999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3.4111080000000002E-2</v>
      </c>
      <c r="C28" s="169">
        <v>0</v>
      </c>
      <c r="D28" s="169">
        <v>0</v>
      </c>
      <c r="E28" s="169">
        <v>0</v>
      </c>
      <c r="F28" s="169">
        <v>2.3544124E-2</v>
      </c>
      <c r="G28" s="169">
        <v>0</v>
      </c>
      <c r="H28" s="180">
        <v>1.0566956000000001E-2</v>
      </c>
      <c r="J28" s="276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SUM(B32:B36)</f>
        <v>35796490.689329989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34031556.188951001</v>
      </c>
      <c r="C32" s="60"/>
      <c r="D32" s="236"/>
      <c r="E32" s="60"/>
      <c r="F32" s="60"/>
      <c r="G32" s="60"/>
      <c r="H32" s="88"/>
      <c r="J32" s="249">
        <f>D39</f>
        <v>34031556.188951001</v>
      </c>
      <c r="K32" s="257" t="s">
        <v>61</v>
      </c>
    </row>
    <row r="33" spans="1:11" ht="24" customHeight="1" x14ac:dyDescent="0.2">
      <c r="A33" s="148" t="s">
        <v>49</v>
      </c>
      <c r="B33" s="200">
        <v>456359.72612800001</v>
      </c>
      <c r="C33" s="61"/>
      <c r="D33" s="236"/>
      <c r="E33" s="60"/>
      <c r="F33" s="60"/>
      <c r="G33" s="60"/>
      <c r="H33" s="88"/>
      <c r="J33" s="249">
        <f>D44</f>
        <v>1764934.5003790001</v>
      </c>
      <c r="K33" s="257" t="s">
        <v>60</v>
      </c>
    </row>
    <row r="34" spans="1:11" ht="18" customHeight="1" x14ac:dyDescent="0.2">
      <c r="A34" s="149" t="s">
        <v>24</v>
      </c>
      <c r="B34" s="200">
        <v>710486.21160000004</v>
      </c>
      <c r="C34" s="61"/>
      <c r="D34" s="236"/>
      <c r="E34" s="60"/>
      <c r="F34" s="60"/>
      <c r="G34" s="60"/>
      <c r="H34" s="88"/>
      <c r="J34" s="249">
        <v>0</v>
      </c>
      <c r="K34" s="257" t="s">
        <v>62</v>
      </c>
    </row>
    <row r="35" spans="1:11" ht="18" customHeight="1" x14ac:dyDescent="0.2">
      <c r="A35" s="150" t="s">
        <v>20</v>
      </c>
      <c r="B35" s="200">
        <v>261827.04250000001</v>
      </c>
      <c r="C35" s="61"/>
      <c r="D35" s="236"/>
      <c r="E35" s="60"/>
      <c r="F35" s="60"/>
      <c r="G35" s="60"/>
      <c r="H35" s="88"/>
      <c r="J35" s="275">
        <f>B31-J32-J33-J34</f>
        <v>-1.1408701539039612E-8</v>
      </c>
    </row>
    <row r="36" spans="1:11" ht="18" customHeight="1" thickBot="1" x14ac:dyDescent="0.25">
      <c r="A36" s="277" t="s">
        <v>22</v>
      </c>
      <c r="B36" s="278">
        <v>336261.520151</v>
      </c>
      <c r="C36" s="65"/>
      <c r="D36" s="107"/>
      <c r="E36" s="107"/>
      <c r="F36" s="107"/>
      <c r="G36" s="107"/>
      <c r="H36" s="108"/>
    </row>
    <row r="37" spans="1:11" x14ac:dyDescent="0.2">
      <c r="B37" s="206"/>
      <c r="C37" s="32"/>
    </row>
    <row r="38" spans="1:11" hidden="1" x14ac:dyDescent="0.2">
      <c r="A38" s="258"/>
      <c r="B38" s="260" t="s">
        <v>64</v>
      </c>
      <c r="C38" s="264"/>
      <c r="D38" s="261" t="s">
        <v>65</v>
      </c>
      <c r="E38" s="156"/>
    </row>
    <row r="39" spans="1:11" hidden="1" x14ac:dyDescent="0.2">
      <c r="A39" s="255" t="s">
        <v>46</v>
      </c>
      <c r="B39" s="260">
        <v>34031556.188950986</v>
      </c>
      <c r="C39" s="249">
        <f>B32-B39-J34</f>
        <v>1.4901161193847656E-8</v>
      </c>
      <c r="D39" s="266">
        <v>34031556.188951001</v>
      </c>
      <c r="E39" s="249">
        <f>B39-D39</f>
        <v>0</v>
      </c>
    </row>
    <row r="40" spans="1:11" hidden="1" x14ac:dyDescent="0.2">
      <c r="A40" s="255" t="s">
        <v>49</v>
      </c>
      <c r="B40" s="249">
        <v>456359.72612800001</v>
      </c>
      <c r="C40" s="249">
        <f>B33-B40</f>
        <v>0</v>
      </c>
      <c r="D40" s="266">
        <v>456359.72612800001</v>
      </c>
      <c r="E40" s="249">
        <f>B40-D40</f>
        <v>0</v>
      </c>
    </row>
    <row r="41" spans="1:11" hidden="1" x14ac:dyDescent="0.2">
      <c r="A41" s="255" t="s">
        <v>24</v>
      </c>
      <c r="B41" s="249">
        <v>710486.21160000016</v>
      </c>
      <c r="C41" s="249">
        <f>B34-B41</f>
        <v>0</v>
      </c>
      <c r="D41" s="266">
        <v>710486.21160000004</v>
      </c>
      <c r="E41" s="249">
        <f>B41-D41</f>
        <v>0</v>
      </c>
    </row>
    <row r="42" spans="1:11" hidden="1" x14ac:dyDescent="0.2">
      <c r="A42" s="255" t="s">
        <v>20</v>
      </c>
      <c r="B42" s="249">
        <v>261827.04249999998</v>
      </c>
      <c r="C42" s="249">
        <f>B35-B42</f>
        <v>0</v>
      </c>
      <c r="D42" s="266">
        <v>261827.04250000001</v>
      </c>
      <c r="E42" s="249">
        <f t="shared" ref="E42" si="6">B42-D42</f>
        <v>0</v>
      </c>
    </row>
    <row r="43" spans="1:11" hidden="1" x14ac:dyDescent="0.2">
      <c r="A43" s="255" t="s">
        <v>22</v>
      </c>
      <c r="B43" s="249">
        <v>336261.52015099989</v>
      </c>
      <c r="C43" s="249">
        <f>B36-B43</f>
        <v>0</v>
      </c>
      <c r="D43" s="266">
        <v>336261.520151</v>
      </c>
      <c r="E43" s="249">
        <f>B43-D43</f>
        <v>0</v>
      </c>
    </row>
    <row r="44" spans="1:11" hidden="1" x14ac:dyDescent="0.2">
      <c r="B44" s="249">
        <f>SUM(B40:B43)</f>
        <v>1764934.5003789999</v>
      </c>
      <c r="C44" s="249">
        <f>SUM(C39:C43)</f>
        <v>1.4901161193847656E-8</v>
      </c>
      <c r="D44" s="259">
        <f>SUM(D40:D43)</f>
        <v>1764934.5003790001</v>
      </c>
      <c r="E44" s="249">
        <f>SUM(E39:E43)</f>
        <v>0</v>
      </c>
    </row>
    <row r="45" spans="1:11" hidden="1" x14ac:dyDescent="0.2">
      <c r="B45" s="267">
        <f>B44+B39+J34-B32</f>
        <v>1764934.5003789812</v>
      </c>
      <c r="C45" s="249"/>
      <c r="D45" s="259">
        <f>D44+D39</f>
        <v>35796490.689330004</v>
      </c>
      <c r="E45" s="249"/>
    </row>
    <row r="46" spans="1:11" hidden="1" x14ac:dyDescent="0.2">
      <c r="B46" s="249"/>
      <c r="C46" s="156"/>
      <c r="D46" s="156"/>
      <c r="E46" s="156"/>
    </row>
    <row r="47" spans="1:11" x14ac:dyDescent="0.2">
      <c r="B47" s="265"/>
    </row>
    <row r="51" spans="2:2" x14ac:dyDescent="0.2">
      <c r="B51" s="206"/>
    </row>
    <row r="52" spans="2:2" x14ac:dyDescent="0.2">
      <c r="B52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81">
        <v>43952</v>
      </c>
      <c r="B3" s="381"/>
      <c r="C3" s="381"/>
      <c r="D3" s="381"/>
      <c r="E3" s="381"/>
      <c r="F3" s="381"/>
      <c r="G3" s="381"/>
      <c r="H3" s="381"/>
    </row>
    <row r="4" spans="1: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3658640</v>
      </c>
      <c r="C6" s="24">
        <v>10517</v>
      </c>
      <c r="D6" s="24">
        <v>46495</v>
      </c>
      <c r="E6" s="24">
        <v>336580</v>
      </c>
      <c r="F6" s="24">
        <v>1589514</v>
      </c>
      <c r="G6" s="24">
        <v>0</v>
      </c>
      <c r="H6" s="34">
        <v>1675534</v>
      </c>
    </row>
    <row r="7" spans="1:8" x14ac:dyDescent="0.2">
      <c r="A7" s="38" t="s">
        <v>17</v>
      </c>
      <c r="B7" s="42">
        <v>3594080</v>
      </c>
      <c r="C7" s="4"/>
      <c r="D7" s="4">
        <v>46495</v>
      </c>
      <c r="E7" s="4">
        <v>336580</v>
      </c>
      <c r="F7" s="4">
        <v>1587522</v>
      </c>
      <c r="G7" s="4"/>
      <c r="H7" s="8">
        <v>1623483</v>
      </c>
    </row>
    <row r="8" spans="1:8" x14ac:dyDescent="0.2">
      <c r="A8" s="38" t="s">
        <v>7</v>
      </c>
      <c r="B8" s="42">
        <v>53378</v>
      </c>
      <c r="C8" s="4"/>
      <c r="D8" s="4"/>
      <c r="E8" s="4"/>
      <c r="F8" s="4">
        <v>1992</v>
      </c>
      <c r="G8" s="4"/>
      <c r="H8" s="8">
        <v>51386</v>
      </c>
    </row>
    <row r="9" spans="1:8" x14ac:dyDescent="0.2">
      <c r="A9" s="38" t="s">
        <v>8</v>
      </c>
      <c r="B9" s="42">
        <v>665</v>
      </c>
      <c r="C9" s="4"/>
      <c r="D9" s="4"/>
      <c r="E9" s="4"/>
      <c r="F9" s="4"/>
      <c r="G9" s="4"/>
      <c r="H9" s="8">
        <v>665</v>
      </c>
    </row>
    <row r="10" spans="1:8" x14ac:dyDescent="0.2">
      <c r="A10" s="38" t="s">
        <v>18</v>
      </c>
      <c r="B10" s="42">
        <v>10517</v>
      </c>
      <c r="C10" s="4">
        <v>10517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36290152</v>
      </c>
      <c r="C11" s="5">
        <v>78009</v>
      </c>
      <c r="D11" s="5">
        <v>545910</v>
      </c>
      <c r="E11" s="5">
        <v>130135</v>
      </c>
      <c r="F11" s="5">
        <v>1086348</v>
      </c>
      <c r="G11" s="5">
        <v>11240</v>
      </c>
      <c r="H11" s="35">
        <v>34438510</v>
      </c>
    </row>
    <row r="12" spans="1:8" x14ac:dyDescent="0.2">
      <c r="A12" s="38" t="s">
        <v>17</v>
      </c>
      <c r="B12" s="42">
        <v>34735689</v>
      </c>
      <c r="C12" s="4"/>
      <c r="D12" s="4">
        <v>545910</v>
      </c>
      <c r="E12" s="4">
        <v>120411</v>
      </c>
      <c r="F12" s="4">
        <v>1049516</v>
      </c>
      <c r="G12" s="4">
        <v>11240</v>
      </c>
      <c r="H12" s="6">
        <v>33008612</v>
      </c>
    </row>
    <row r="13" spans="1:8" x14ac:dyDescent="0.2">
      <c r="A13" s="38" t="s">
        <v>7</v>
      </c>
      <c r="B13" s="42">
        <v>1388830</v>
      </c>
      <c r="C13" s="7"/>
      <c r="D13" s="7"/>
      <c r="E13" s="7">
        <v>9724</v>
      </c>
      <c r="F13" s="7">
        <v>36832</v>
      </c>
      <c r="G13" s="7"/>
      <c r="H13" s="6">
        <v>1342274</v>
      </c>
    </row>
    <row r="14" spans="1:8" x14ac:dyDescent="0.2">
      <c r="A14" s="38" t="s">
        <v>8</v>
      </c>
      <c r="B14" s="42">
        <v>87624</v>
      </c>
      <c r="C14" s="4"/>
      <c r="D14" s="4"/>
      <c r="E14" s="4"/>
      <c r="F14" s="4"/>
      <c r="G14" s="4"/>
      <c r="H14" s="6">
        <v>87624</v>
      </c>
    </row>
    <row r="15" spans="1:8" x14ac:dyDescent="0.2">
      <c r="A15" s="38" t="s">
        <v>18</v>
      </c>
      <c r="B15" s="42">
        <v>78009</v>
      </c>
      <c r="C15" s="4">
        <v>78009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60998761</v>
      </c>
      <c r="C16" s="5">
        <v>2057657</v>
      </c>
      <c r="D16" s="5">
        <v>8513098</v>
      </c>
      <c r="E16" s="5">
        <v>4756145</v>
      </c>
      <c r="F16" s="5">
        <v>38555261</v>
      </c>
      <c r="G16" s="5">
        <v>54413</v>
      </c>
      <c r="H16" s="35">
        <v>7062187</v>
      </c>
    </row>
    <row r="17" spans="1:8" x14ac:dyDescent="0.2">
      <c r="A17" s="38" t="s">
        <v>17</v>
      </c>
      <c r="B17" s="2">
        <v>58350871</v>
      </c>
      <c r="C17" s="4"/>
      <c r="D17" s="4">
        <v>8513098</v>
      </c>
      <c r="E17" s="4">
        <v>4728076</v>
      </c>
      <c r="F17" s="4">
        <v>38367382</v>
      </c>
      <c r="G17" s="4">
        <v>54413</v>
      </c>
      <c r="H17" s="6">
        <v>6687902</v>
      </c>
    </row>
    <row r="18" spans="1:8" x14ac:dyDescent="0.2">
      <c r="A18" s="38" t="s">
        <v>7</v>
      </c>
      <c r="B18" s="25">
        <v>549668</v>
      </c>
      <c r="C18" s="7"/>
      <c r="D18" s="7"/>
      <c r="E18" s="7">
        <v>28069</v>
      </c>
      <c r="F18" s="7">
        <v>169322</v>
      </c>
      <c r="G18" s="7"/>
      <c r="H18" s="6">
        <v>352277</v>
      </c>
    </row>
    <row r="19" spans="1:8" x14ac:dyDescent="0.2">
      <c r="A19" s="38" t="s">
        <v>8</v>
      </c>
      <c r="B19" s="2">
        <v>40565</v>
      </c>
      <c r="C19" s="4"/>
      <c r="D19" s="4"/>
      <c r="E19" s="4"/>
      <c r="F19" s="4">
        <v>18557</v>
      </c>
      <c r="G19" s="4"/>
      <c r="H19" s="8">
        <v>22008</v>
      </c>
    </row>
    <row r="20" spans="1:8" ht="19.5" customHeight="1" x14ac:dyDescent="0.2">
      <c r="A20" s="38" t="s">
        <v>18</v>
      </c>
      <c r="B20" s="2">
        <v>2057657</v>
      </c>
      <c r="C20" s="4">
        <v>2057657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100947553</v>
      </c>
      <c r="C21" s="9">
        <v>2146183</v>
      </c>
      <c r="D21" s="9">
        <v>9105503</v>
      </c>
      <c r="E21" s="9">
        <v>5222860</v>
      </c>
      <c r="F21" s="9">
        <v>41231123</v>
      </c>
      <c r="G21" s="9">
        <v>65653</v>
      </c>
      <c r="H21" s="36">
        <v>43176231</v>
      </c>
    </row>
    <row r="22" spans="1:8" ht="15.75" customHeight="1" x14ac:dyDescent="0.2">
      <c r="A22" s="39" t="s">
        <v>21</v>
      </c>
      <c r="B22" s="43">
        <v>48229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4639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8" ht="24.75" customHeight="1" x14ac:dyDescent="0.2">
      <c r="A25" s="47" t="s">
        <v>28</v>
      </c>
      <c r="B25" s="50">
        <v>9.5350000000000001</v>
      </c>
      <c r="C25" s="26">
        <v>2.3149999999999999</v>
      </c>
      <c r="D25" s="26">
        <v>0.20599999999999999</v>
      </c>
      <c r="E25" s="26">
        <v>6.0000000000000001E-3</v>
      </c>
      <c r="F25" s="26">
        <v>6.2629999999999999</v>
      </c>
      <c r="G25" s="26">
        <v>8.9999999999999993E-3</v>
      </c>
      <c r="H25" s="27">
        <v>0.73599999999999999</v>
      </c>
    </row>
    <row r="26" spans="1:8" x14ac:dyDescent="0.2">
      <c r="A26" s="48" t="s">
        <v>18</v>
      </c>
      <c r="B26" s="51">
        <v>2.3149999999999999</v>
      </c>
      <c r="C26" s="28">
        <v>2.3149999999999999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7.1970000000000001</v>
      </c>
      <c r="C27" s="28"/>
      <c r="D27" s="28">
        <v>0.20599999999999999</v>
      </c>
      <c r="E27" s="28">
        <v>6.0000000000000001E-3</v>
      </c>
      <c r="F27" s="28">
        <v>6.2560000000000002</v>
      </c>
      <c r="G27" s="28">
        <v>8.9999999999999993E-3</v>
      </c>
      <c r="H27" s="29">
        <v>0.72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18390243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16617035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317659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1311650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79671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64228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394" t="s">
        <v>15</v>
      </c>
      <c r="B1" s="394"/>
      <c r="C1" s="394"/>
      <c r="D1" s="394"/>
      <c r="E1" s="394"/>
      <c r="F1" s="394"/>
      <c r="G1" s="394"/>
      <c r="H1" s="394"/>
    </row>
    <row r="2" spans="1:18" ht="38.25" customHeight="1" x14ac:dyDescent="0.2">
      <c r="A2" s="371" t="s">
        <v>50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9">
        <v>45323</v>
      </c>
      <c r="B3" s="389"/>
      <c r="C3" s="389"/>
      <c r="D3" s="389"/>
      <c r="E3" s="389"/>
      <c r="F3" s="389"/>
      <c r="G3" s="389"/>
      <c r="H3" s="389"/>
    </row>
    <row r="4" spans="1:18" ht="20.25" customHeight="1" x14ac:dyDescent="0.2">
      <c r="A4" s="390" t="s">
        <v>0</v>
      </c>
      <c r="B4" s="392" t="s">
        <v>12</v>
      </c>
      <c r="C4" s="392"/>
      <c r="D4" s="392"/>
      <c r="E4" s="392"/>
      <c r="F4" s="392"/>
      <c r="G4" s="392"/>
      <c r="H4" s="393"/>
    </row>
    <row r="5" spans="1:18" ht="60" customHeight="1" x14ac:dyDescent="0.2">
      <c r="A5" s="391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7263168.6631000005</v>
      </c>
      <c r="C6" s="135">
        <f>SUM(C7:C10)</f>
        <v>24137.35</v>
      </c>
      <c r="D6" s="135">
        <f t="shared" ref="D6:H6" si="0">SUM(D7:D10)</f>
        <v>89413.79</v>
      </c>
      <c r="E6" s="135">
        <f t="shared" si="0"/>
        <v>414799.74</v>
      </c>
      <c r="F6" s="135">
        <f t="shared" si="0"/>
        <v>2740646.34846</v>
      </c>
      <c r="G6" s="135">
        <f t="shared" si="0"/>
        <v>0</v>
      </c>
      <c r="H6" s="137">
        <f t="shared" si="0"/>
        <v>3994171.4346400001</v>
      </c>
      <c r="J6" s="270" t="s">
        <v>66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7109278.3130999999</v>
      </c>
      <c r="C7" s="152">
        <v>0</v>
      </c>
      <c r="D7" s="152">
        <v>89413.79</v>
      </c>
      <c r="E7" s="152">
        <v>414799.74</v>
      </c>
      <c r="F7" s="152">
        <v>2727819.34846</v>
      </c>
      <c r="G7" s="152">
        <v>0</v>
      </c>
      <c r="H7" s="196">
        <v>3877245.4346400001</v>
      </c>
      <c r="J7" s="271" t="s">
        <v>31</v>
      </c>
      <c r="K7" s="70"/>
      <c r="L7" s="70"/>
      <c r="M7" s="70"/>
      <c r="N7" s="70"/>
      <c r="O7" s="70"/>
      <c r="P7" s="70"/>
      <c r="Q7" s="272" t="s">
        <v>32</v>
      </c>
    </row>
    <row r="8" spans="1:18" ht="24" customHeight="1" x14ac:dyDescent="0.2">
      <c r="A8" s="177" t="s">
        <v>47</v>
      </c>
      <c r="B8" s="166">
        <f t="shared" si="1"/>
        <v>125496</v>
      </c>
      <c r="C8" s="152">
        <v>0</v>
      </c>
      <c r="D8" s="152">
        <v>0</v>
      </c>
      <c r="E8" s="152">
        <v>0</v>
      </c>
      <c r="F8" s="152">
        <v>12827</v>
      </c>
      <c r="G8" s="152">
        <v>0</v>
      </c>
      <c r="H8" s="196">
        <v>112669</v>
      </c>
      <c r="J8" s="72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7" t="s">
        <v>48</v>
      </c>
      <c r="B9" s="166">
        <f t="shared" si="1"/>
        <v>4257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4257</v>
      </c>
      <c r="J9" s="268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24137.35</v>
      </c>
      <c r="C10" s="152">
        <v>24137.35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68" t="s">
        <v>41</v>
      </c>
      <c r="K10" s="75"/>
      <c r="L10" s="75">
        <v>0</v>
      </c>
      <c r="M10" s="75">
        <v>6780</v>
      </c>
      <c r="N10" s="75">
        <v>2759</v>
      </c>
      <c r="O10" s="75"/>
      <c r="P10" s="75"/>
      <c r="Q10" s="190">
        <v>9539</v>
      </c>
    </row>
    <row r="11" spans="1:18" ht="18" customHeight="1" x14ac:dyDescent="0.2">
      <c r="A11" s="176" t="s">
        <v>9</v>
      </c>
      <c r="B11" s="165">
        <f t="shared" si="1"/>
        <v>42819975.071599998</v>
      </c>
      <c r="C11" s="135">
        <f>SUM(C12:C15)</f>
        <v>279617.69</v>
      </c>
      <c r="D11" s="135">
        <f t="shared" ref="D11:H11" si="2">SUM(D12:D15)</f>
        <v>688710</v>
      </c>
      <c r="E11" s="135">
        <f t="shared" si="2"/>
        <v>145909</v>
      </c>
      <c r="F11" s="135">
        <f t="shared" si="2"/>
        <v>3073427.8390000002</v>
      </c>
      <c r="G11" s="135">
        <f t="shared" si="2"/>
        <v>11760</v>
      </c>
      <c r="H11" s="137">
        <f t="shared" si="2"/>
        <v>38620550.542599998</v>
      </c>
      <c r="J11" s="268" t="s">
        <v>1</v>
      </c>
      <c r="K11" s="191">
        <v>0</v>
      </c>
      <c r="L11" s="191">
        <v>0</v>
      </c>
      <c r="M11" s="191">
        <v>6780</v>
      </c>
      <c r="N11" s="191">
        <v>2759</v>
      </c>
      <c r="O11" s="191">
        <v>0</v>
      </c>
      <c r="P11" s="191">
        <v>0</v>
      </c>
      <c r="Q11" s="191">
        <v>9539</v>
      </c>
    </row>
    <row r="12" spans="1:18" ht="18" customHeight="1" x14ac:dyDescent="0.2">
      <c r="A12" s="173" t="s">
        <v>46</v>
      </c>
      <c r="B12" s="166">
        <f t="shared" si="1"/>
        <v>40929375.691600002</v>
      </c>
      <c r="C12" s="152">
        <v>0</v>
      </c>
      <c r="D12" s="152">
        <v>688710</v>
      </c>
      <c r="E12" s="152">
        <v>145909</v>
      </c>
      <c r="F12" s="152">
        <v>3039257.8390000002</v>
      </c>
      <c r="G12" s="152">
        <v>11760</v>
      </c>
      <c r="H12" s="196">
        <v>37043738.852600001</v>
      </c>
      <c r="J12" s="268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1516013.04</v>
      </c>
      <c r="C13" s="152">
        <v>0</v>
      </c>
      <c r="D13" s="152">
        <v>0</v>
      </c>
      <c r="E13" s="152">
        <v>0</v>
      </c>
      <c r="F13" s="152">
        <v>34170</v>
      </c>
      <c r="G13" s="152">
        <v>0</v>
      </c>
      <c r="H13" s="196">
        <v>1481843.04</v>
      </c>
      <c r="J13" s="269" t="s">
        <v>39</v>
      </c>
      <c r="K13" s="194">
        <v>0</v>
      </c>
      <c r="L13" s="194">
        <v>0</v>
      </c>
      <c r="M13" s="194">
        <v>6780</v>
      </c>
      <c r="N13" s="194">
        <v>2759</v>
      </c>
      <c r="O13" s="194">
        <v>0</v>
      </c>
      <c r="P13" s="194">
        <v>0</v>
      </c>
      <c r="Q13" s="194">
        <v>9539</v>
      </c>
      <c r="R13" s="105"/>
    </row>
    <row r="14" spans="1:18" ht="24" customHeight="1" x14ac:dyDescent="0.2">
      <c r="A14" s="177" t="s">
        <v>48</v>
      </c>
      <c r="B14" s="166">
        <f t="shared" si="1"/>
        <v>94968.65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94968.65</v>
      </c>
      <c r="Q14" s="32"/>
    </row>
    <row r="15" spans="1:18" ht="18" customHeight="1" x14ac:dyDescent="0.2">
      <c r="A15" s="173" t="s">
        <v>45</v>
      </c>
      <c r="B15" s="166">
        <f t="shared" si="1"/>
        <v>279617.69</v>
      </c>
      <c r="C15" s="152">
        <v>279617.69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SUM(C16:H16)</f>
        <v>56945382.931068003</v>
      </c>
      <c r="C16" s="135">
        <f>SUM(C17:C20)</f>
        <v>3699082.466364</v>
      </c>
      <c r="D16" s="135">
        <f t="shared" ref="D16:H16" si="3">SUM(D17:D20)</f>
        <v>15116258.505413</v>
      </c>
      <c r="E16" s="135">
        <f t="shared" si="3"/>
        <v>3817865.603532</v>
      </c>
      <c r="F16" s="135">
        <f t="shared" si="3"/>
        <v>22599417.393982999</v>
      </c>
      <c r="G16" s="135">
        <f t="shared" si="3"/>
        <v>314862.07919999998</v>
      </c>
      <c r="H16" s="137">
        <f t="shared" si="3"/>
        <v>11397896.882576</v>
      </c>
    </row>
    <row r="17" spans="1:14" ht="18" customHeight="1" x14ac:dyDescent="0.2">
      <c r="A17" s="173" t="s">
        <v>46</v>
      </c>
      <c r="B17" s="166">
        <f>SUM(C17:H17)</f>
        <v>52296428.216193996</v>
      </c>
      <c r="C17" s="152">
        <v>0</v>
      </c>
      <c r="D17" s="152">
        <v>15116258.505413</v>
      </c>
      <c r="E17" s="152">
        <v>3811853.814458</v>
      </c>
      <c r="F17" s="152">
        <v>22169051.008733999</v>
      </c>
      <c r="G17" s="152">
        <v>314862.07919999998</v>
      </c>
      <c r="H17" s="196">
        <f>10893941.808389-Q11</f>
        <v>10884402.808389001</v>
      </c>
      <c r="I17" s="11"/>
    </row>
    <row r="18" spans="1:14" ht="24" customHeight="1" x14ac:dyDescent="0.2">
      <c r="A18" s="177" t="s">
        <v>47</v>
      </c>
      <c r="B18" s="166">
        <f t="shared" si="1"/>
        <v>858377.80851000012</v>
      </c>
      <c r="C18" s="152">
        <v>0</v>
      </c>
      <c r="D18" s="152">
        <v>0</v>
      </c>
      <c r="E18" s="152">
        <v>6011.7890740000003</v>
      </c>
      <c r="F18" s="152">
        <v>366612.78524900001</v>
      </c>
      <c r="G18" s="152">
        <v>0</v>
      </c>
      <c r="H18" s="196">
        <v>485753.23418700002</v>
      </c>
      <c r="J18" s="212"/>
    </row>
    <row r="19" spans="1:14" ht="24" customHeight="1" x14ac:dyDescent="0.2">
      <c r="A19" s="177" t="s">
        <v>48</v>
      </c>
      <c r="B19" s="166">
        <f t="shared" si="1"/>
        <v>91494.44</v>
      </c>
      <c r="C19" s="152">
        <v>0</v>
      </c>
      <c r="D19" s="152">
        <v>0</v>
      </c>
      <c r="E19" s="152">
        <v>0</v>
      </c>
      <c r="F19" s="152">
        <v>63753.599999999999</v>
      </c>
      <c r="G19" s="152">
        <v>0</v>
      </c>
      <c r="H19" s="196">
        <v>27740.84</v>
      </c>
      <c r="J19" s="212"/>
    </row>
    <row r="20" spans="1:14" ht="18" customHeight="1" x14ac:dyDescent="0.2">
      <c r="A20" s="173" t="s">
        <v>45</v>
      </c>
      <c r="B20" s="166">
        <f t="shared" si="1"/>
        <v>3699082.466364</v>
      </c>
      <c r="C20" s="152">
        <v>3699082.466364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107028526.665768</v>
      </c>
      <c r="C21" s="135">
        <f>C6+C11+C16</f>
        <v>4002837.506364</v>
      </c>
      <c r="D21" s="135">
        <f t="shared" ref="D21:G21" si="4">D6+D11+D16</f>
        <v>15894382.295412999</v>
      </c>
      <c r="E21" s="135">
        <f t="shared" si="4"/>
        <v>4378574.3435319997</v>
      </c>
      <c r="F21" s="135">
        <f t="shared" si="4"/>
        <v>28413491.581442997</v>
      </c>
      <c r="G21" s="135">
        <f t="shared" si="4"/>
        <v>326622.07919999998</v>
      </c>
      <c r="H21" s="137">
        <f>H6+H11+H16</f>
        <v>54012618.859816</v>
      </c>
      <c r="J21" s="249">
        <v>107038065.665768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75">
        <f>B21-J21+Q13</f>
        <v>0</v>
      </c>
      <c r="K22" s="255"/>
    </row>
    <row r="23" spans="1:14" ht="18" customHeight="1" thickBot="1" x14ac:dyDescent="0.25">
      <c r="A23" s="185" t="s">
        <v>14</v>
      </c>
      <c r="B23" s="214">
        <v>9591</v>
      </c>
      <c r="C23" s="204"/>
      <c r="D23" s="160"/>
      <c r="E23" s="160"/>
      <c r="F23" s="160"/>
      <c r="G23" s="160"/>
      <c r="H23" s="205"/>
      <c r="J23" s="120"/>
      <c r="K23" s="255"/>
    </row>
    <row r="24" spans="1:14" s="155" customFormat="1" ht="20.25" customHeight="1" thickBot="1" x14ac:dyDescent="0.25">
      <c r="A24" s="178"/>
      <c r="B24" s="387" t="s">
        <v>13</v>
      </c>
      <c r="C24" s="387"/>
      <c r="D24" s="387"/>
      <c r="E24" s="387"/>
      <c r="F24" s="387"/>
      <c r="G24" s="387"/>
      <c r="H24" s="388"/>
      <c r="J24" s="237"/>
      <c r="K24" s="255"/>
    </row>
    <row r="25" spans="1:14" ht="18" customHeight="1" x14ac:dyDescent="0.2">
      <c r="A25" s="124" t="s">
        <v>28</v>
      </c>
      <c r="B25" s="144">
        <f>SUM(C25:H25)</f>
        <v>10.129145587</v>
      </c>
      <c r="C25" s="144">
        <f>SUM(C26:C29)</f>
        <v>3.6820736459999996</v>
      </c>
      <c r="D25" s="144">
        <f t="shared" ref="D25:H25" si="5">SUM(D26:D29)</f>
        <v>0.19887041400000002</v>
      </c>
      <c r="E25" s="144">
        <f t="shared" si="5"/>
        <v>3.1482630000000001E-3</v>
      </c>
      <c r="F25" s="144">
        <f t="shared" si="5"/>
        <v>5.1844993660000007</v>
      </c>
      <c r="G25" s="144">
        <f t="shared" si="5"/>
        <v>0.30651336600000001</v>
      </c>
      <c r="H25" s="145">
        <f t="shared" si="5"/>
        <v>0.75404053199999999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3.6820736459999996</v>
      </c>
      <c r="C26" s="169">
        <v>3.6820736459999996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74">
        <v>3.6820736460000001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6.4170268760000004</v>
      </c>
      <c r="C27" s="169">
        <v>0</v>
      </c>
      <c r="D27" s="169">
        <v>0.19887041400000002</v>
      </c>
      <c r="E27" s="169">
        <v>3.1482630000000001E-3</v>
      </c>
      <c r="F27" s="169">
        <v>5.1650523700000006</v>
      </c>
      <c r="G27" s="169">
        <v>0.30651336600000001</v>
      </c>
      <c r="H27" s="180">
        <v>0.74344246299999994</v>
      </c>
      <c r="J27" s="251">
        <v>6.4470719409999999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3.0045064999999996E-2</v>
      </c>
      <c r="C28" s="169">
        <v>0</v>
      </c>
      <c r="D28" s="169">
        <v>0</v>
      </c>
      <c r="E28" s="169">
        <v>0</v>
      </c>
      <c r="F28" s="169">
        <v>1.9446995999999998E-2</v>
      </c>
      <c r="G28" s="169">
        <v>0</v>
      </c>
      <c r="H28" s="180">
        <v>1.0598069E-2</v>
      </c>
      <c r="J28" s="276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73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SUM(B32:B36)</f>
        <v>24676295.399199001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23587408.770194001</v>
      </c>
      <c r="C32" s="60"/>
      <c r="D32" s="236"/>
      <c r="E32" s="60"/>
      <c r="F32" s="60"/>
      <c r="G32" s="60"/>
      <c r="H32" s="88"/>
      <c r="J32" s="249">
        <f>D39</f>
        <v>23587408.770193998</v>
      </c>
      <c r="K32" s="257" t="s">
        <v>61</v>
      </c>
    </row>
    <row r="33" spans="1:11" ht="24" customHeight="1" x14ac:dyDescent="0.2">
      <c r="A33" s="148" t="s">
        <v>49</v>
      </c>
      <c r="B33" s="200">
        <v>416919.12680500001</v>
      </c>
      <c r="C33" s="61"/>
      <c r="D33" s="236"/>
      <c r="E33" s="60"/>
      <c r="F33" s="60"/>
      <c r="G33" s="60"/>
      <c r="H33" s="88"/>
      <c r="J33" s="249">
        <f>D44</f>
        <v>1088886.629005</v>
      </c>
      <c r="K33" s="257" t="s">
        <v>60</v>
      </c>
    </row>
    <row r="34" spans="1:11" ht="18" customHeight="1" x14ac:dyDescent="0.2">
      <c r="A34" s="149" t="s">
        <v>24</v>
      </c>
      <c r="B34" s="200">
        <v>460915.04920000001</v>
      </c>
      <c r="C34" s="61"/>
      <c r="D34" s="236"/>
      <c r="E34" s="60"/>
      <c r="F34" s="60"/>
      <c r="G34" s="60"/>
      <c r="H34" s="88"/>
      <c r="J34" s="249">
        <v>0</v>
      </c>
      <c r="K34" s="257" t="s">
        <v>62</v>
      </c>
    </row>
    <row r="35" spans="1:11" ht="18" customHeight="1" x14ac:dyDescent="0.2">
      <c r="A35" s="150" t="s">
        <v>20</v>
      </c>
      <c r="B35" s="200">
        <v>192231.44699999999</v>
      </c>
      <c r="C35" s="61"/>
      <c r="D35" s="236"/>
      <c r="E35" s="60"/>
      <c r="F35" s="60"/>
      <c r="G35" s="60"/>
      <c r="H35" s="88"/>
      <c r="J35" s="275">
        <f>B31-J32-J33-J34</f>
        <v>3.7252902984619141E-9</v>
      </c>
    </row>
    <row r="36" spans="1:11" ht="18" customHeight="1" thickBot="1" x14ac:dyDescent="0.25">
      <c r="A36" s="277" t="s">
        <v>22</v>
      </c>
      <c r="B36" s="278">
        <v>18821.006000000001</v>
      </c>
      <c r="C36" s="65"/>
      <c r="D36" s="107"/>
      <c r="E36" s="107"/>
      <c r="F36" s="107"/>
      <c r="G36" s="107"/>
      <c r="H36" s="108"/>
    </row>
    <row r="37" spans="1:11" x14ac:dyDescent="0.2">
      <c r="B37" s="206"/>
      <c r="C37" s="32"/>
    </row>
    <row r="38" spans="1:11" hidden="1" x14ac:dyDescent="0.2">
      <c r="A38" s="258"/>
      <c r="B38" s="260" t="s">
        <v>64</v>
      </c>
      <c r="C38" s="264"/>
      <c r="D38" s="261" t="s">
        <v>65</v>
      </c>
      <c r="E38" s="156"/>
    </row>
    <row r="39" spans="1:11" hidden="1" x14ac:dyDescent="0.2">
      <c r="A39" s="255" t="s">
        <v>46</v>
      </c>
      <c r="B39" s="260">
        <f>23567369.370194+20039.4</f>
        <v>23587408.770193998</v>
      </c>
      <c r="C39" s="249">
        <f>B32-B39-J34</f>
        <v>3.7252902984619141E-9</v>
      </c>
      <c r="D39" s="266">
        <v>23587408.770193998</v>
      </c>
      <c r="E39" s="249">
        <f>B39-D39</f>
        <v>0</v>
      </c>
    </row>
    <row r="40" spans="1:11" hidden="1" x14ac:dyDescent="0.2">
      <c r="A40" s="255" t="s">
        <v>49</v>
      </c>
      <c r="B40" s="249">
        <v>416919.12680500001</v>
      </c>
      <c r="C40" s="249">
        <f>B33-B40</f>
        <v>0</v>
      </c>
      <c r="D40" s="266">
        <v>416919.12680500001</v>
      </c>
      <c r="E40" s="249">
        <f>B40-D40</f>
        <v>0</v>
      </c>
    </row>
    <row r="41" spans="1:11" hidden="1" x14ac:dyDescent="0.2">
      <c r="A41" s="255" t="s">
        <v>24</v>
      </c>
      <c r="B41" s="249">
        <v>460915.04920000007</v>
      </c>
      <c r="C41" s="249">
        <f>B34-B41</f>
        <v>0</v>
      </c>
      <c r="D41" s="266">
        <v>460915.04920000001</v>
      </c>
      <c r="E41" s="249">
        <f>B41-D41</f>
        <v>0</v>
      </c>
    </row>
    <row r="42" spans="1:11" hidden="1" x14ac:dyDescent="0.2">
      <c r="A42" s="255" t="s">
        <v>20</v>
      </c>
      <c r="B42" s="249">
        <v>192231.44699999999</v>
      </c>
      <c r="C42" s="249">
        <f>B35-B42</f>
        <v>0</v>
      </c>
      <c r="D42" s="266">
        <v>192231.44699999999</v>
      </c>
      <c r="E42" s="249">
        <f t="shared" ref="E42" si="6">B42-D42</f>
        <v>0</v>
      </c>
    </row>
    <row r="43" spans="1:11" hidden="1" x14ac:dyDescent="0.2">
      <c r="A43" s="255" t="s">
        <v>22</v>
      </c>
      <c r="B43" s="249">
        <v>18821.005999999958</v>
      </c>
      <c r="C43" s="249">
        <f>B36-B43</f>
        <v>4.3655745685100555E-11</v>
      </c>
      <c r="D43" s="266">
        <v>18821.006000000001</v>
      </c>
      <c r="E43" s="249">
        <f>B43-D43</f>
        <v>-4.3655745685100555E-11</v>
      </c>
    </row>
    <row r="44" spans="1:11" hidden="1" x14ac:dyDescent="0.2">
      <c r="B44" s="249">
        <f>SUM(B40:B43)</f>
        <v>1088886.629005</v>
      </c>
      <c r="C44" s="249">
        <f>SUM(C39:C43)</f>
        <v>3.7689460441470146E-9</v>
      </c>
      <c r="D44" s="259">
        <f>SUM(D40:D43)</f>
        <v>1088886.629005</v>
      </c>
      <c r="E44" s="249">
        <f>SUM(E39:E43)</f>
        <v>-4.3655745685100555E-11</v>
      </c>
    </row>
    <row r="45" spans="1:11" hidden="1" x14ac:dyDescent="0.2">
      <c r="B45" s="267">
        <f>B44+B39+J34-B32</f>
        <v>1088886.6290049963</v>
      </c>
      <c r="C45" s="249"/>
      <c r="D45" s="259">
        <f>D44+D39</f>
        <v>24676295.399198998</v>
      </c>
      <c r="E45" s="249"/>
    </row>
    <row r="46" spans="1:11" hidden="1" x14ac:dyDescent="0.2">
      <c r="B46" s="249"/>
      <c r="C46" s="156"/>
      <c r="D46" s="156"/>
      <c r="E46" s="156"/>
    </row>
    <row r="47" spans="1:11" hidden="1" x14ac:dyDescent="0.2">
      <c r="B47" s="265"/>
    </row>
    <row r="51" spans="2:2" x14ac:dyDescent="0.2">
      <c r="B51" s="206"/>
    </row>
    <row r="52" spans="2:2" x14ac:dyDescent="0.2">
      <c r="B52" s="206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279" customWidth="1"/>
    <col min="2" max="2" width="21.85546875" style="279" customWidth="1"/>
    <col min="3" max="8" width="20.28515625" style="279" customWidth="1"/>
    <col min="9" max="9" width="3.42578125" style="279" hidden="1" customWidth="1"/>
    <col min="10" max="10" width="21.28515625" style="280" hidden="1" customWidth="1"/>
    <col min="11" max="11" width="8.140625" style="279" hidden="1" customWidth="1"/>
    <col min="12" max="12" width="11.140625" style="279" hidden="1" customWidth="1"/>
    <col min="13" max="17" width="7.28515625" style="279" hidden="1" customWidth="1"/>
    <col min="18" max="19" width="9.140625" style="279" hidden="1" customWidth="1"/>
    <col min="20" max="21" width="9.140625" style="279" customWidth="1"/>
    <col min="22" max="16384" width="9.140625" style="279"/>
  </cols>
  <sheetData>
    <row r="1" spans="1:19" ht="20.25" customHeight="1" x14ac:dyDescent="0.2">
      <c r="A1" s="396" t="s">
        <v>15</v>
      </c>
      <c r="B1" s="396"/>
      <c r="C1" s="396"/>
      <c r="D1" s="396"/>
      <c r="E1" s="396"/>
      <c r="F1" s="396"/>
      <c r="G1" s="396"/>
      <c r="H1" s="396"/>
    </row>
    <row r="2" spans="1:19" ht="42" customHeight="1" x14ac:dyDescent="0.2">
      <c r="A2" s="397" t="s">
        <v>50</v>
      </c>
      <c r="B2" s="397"/>
      <c r="C2" s="397"/>
      <c r="D2" s="397"/>
      <c r="E2" s="397"/>
      <c r="F2" s="397"/>
      <c r="G2" s="397"/>
      <c r="H2" s="397"/>
    </row>
    <row r="3" spans="1:19" ht="24.75" customHeight="1" x14ac:dyDescent="0.2">
      <c r="A3" s="398">
        <v>45352</v>
      </c>
      <c r="B3" s="398"/>
      <c r="C3" s="398"/>
      <c r="D3" s="398"/>
      <c r="E3" s="398"/>
      <c r="F3" s="398"/>
      <c r="G3" s="398"/>
      <c r="H3" s="398"/>
    </row>
    <row r="4" spans="1:19" ht="24.95" customHeight="1" x14ac:dyDescent="0.2">
      <c r="A4" s="399" t="s">
        <v>12</v>
      </c>
      <c r="B4" s="399"/>
      <c r="C4" s="399"/>
      <c r="D4" s="399"/>
      <c r="E4" s="399"/>
      <c r="F4" s="399"/>
      <c r="G4" s="399"/>
      <c r="H4" s="399"/>
    </row>
    <row r="5" spans="1:19" ht="66.75" customHeight="1" thickBot="1" x14ac:dyDescent="0.25">
      <c r="A5" s="353" t="s">
        <v>0</v>
      </c>
      <c r="B5" s="341" t="s">
        <v>1</v>
      </c>
      <c r="C5" s="342" t="s">
        <v>68</v>
      </c>
      <c r="D5" s="342" t="s">
        <v>53</v>
      </c>
      <c r="E5" s="342" t="s">
        <v>69</v>
      </c>
      <c r="F5" s="342" t="s">
        <v>70</v>
      </c>
      <c r="G5" s="342" t="s">
        <v>63</v>
      </c>
      <c r="H5" s="342" t="s">
        <v>54</v>
      </c>
      <c r="L5" s="281" t="s">
        <v>66</v>
      </c>
      <c r="M5" s="282"/>
      <c r="N5" s="282"/>
      <c r="O5" s="282"/>
      <c r="P5" s="282"/>
      <c r="Q5" s="282"/>
      <c r="R5" s="282"/>
      <c r="S5" s="282"/>
    </row>
    <row r="6" spans="1:19" s="330" customFormat="1" ht="29.25" customHeight="1" thickBot="1" x14ac:dyDescent="0.25">
      <c r="A6" s="349" t="s">
        <v>71</v>
      </c>
      <c r="B6" s="344">
        <f>B7+B8</f>
        <v>104025817.74528801</v>
      </c>
      <c r="C6" s="344">
        <f t="shared" ref="C6:H6" si="0">C7+C8</f>
        <v>3999765.8771210001</v>
      </c>
      <c r="D6" s="344">
        <f t="shared" si="0"/>
        <v>14709392.673853004</v>
      </c>
      <c r="E6" s="344">
        <f t="shared" si="0"/>
        <v>5121082.7661950011</v>
      </c>
      <c r="F6" s="344">
        <f t="shared" si="0"/>
        <v>27779611.632486999</v>
      </c>
      <c r="G6" s="344">
        <f t="shared" si="0"/>
        <v>285927.35953900003</v>
      </c>
      <c r="H6" s="352">
        <f t="shared" si="0"/>
        <v>52130037.436092995</v>
      </c>
      <c r="J6" s="331">
        <v>104034336.74528798</v>
      </c>
      <c r="K6" s="332" t="s">
        <v>57</v>
      </c>
      <c r="L6" s="333"/>
      <c r="M6" s="334" t="s">
        <v>33</v>
      </c>
      <c r="N6" s="334" t="s">
        <v>34</v>
      </c>
      <c r="O6" s="334" t="s">
        <v>35</v>
      </c>
      <c r="P6" s="334" t="s">
        <v>36</v>
      </c>
      <c r="Q6" s="334" t="s">
        <v>37</v>
      </c>
      <c r="R6" s="334" t="s">
        <v>38</v>
      </c>
      <c r="S6" s="334" t="s">
        <v>39</v>
      </c>
    </row>
    <row r="7" spans="1:19" ht="18" customHeight="1" x14ac:dyDescent="0.2">
      <c r="A7" s="338" t="s">
        <v>46</v>
      </c>
      <c r="B7" s="319">
        <f>SUM(C7:H7)</f>
        <v>100026051.86816701</v>
      </c>
      <c r="C7" s="319">
        <f>C10+C13</f>
        <v>0</v>
      </c>
      <c r="D7" s="319">
        <f>D10+D13</f>
        <v>14709392.673853004</v>
      </c>
      <c r="E7" s="319">
        <f t="shared" ref="E7:H7" si="1">E10+E13</f>
        <v>5121082.7661950011</v>
      </c>
      <c r="F7" s="319">
        <f t="shared" si="1"/>
        <v>27779611.632486999</v>
      </c>
      <c r="G7" s="319">
        <f t="shared" si="1"/>
        <v>285927.35953900003</v>
      </c>
      <c r="H7" s="319">
        <f t="shared" si="1"/>
        <v>52130037.436092995</v>
      </c>
      <c r="J7" s="286">
        <f>B6-J6+S14</f>
        <v>2.9802322387695313E-8</v>
      </c>
      <c r="L7" s="287" t="s">
        <v>40</v>
      </c>
      <c r="M7" s="288"/>
      <c r="N7" s="288">
        <v>0</v>
      </c>
      <c r="O7" s="288"/>
      <c r="P7" s="288"/>
      <c r="Q7" s="288"/>
      <c r="R7" s="288"/>
      <c r="S7" s="289">
        <v>0</v>
      </c>
    </row>
    <row r="8" spans="1:19" ht="18" customHeight="1" x14ac:dyDescent="0.2">
      <c r="A8" s="335" t="s">
        <v>67</v>
      </c>
      <c r="B8" s="321">
        <f t="shared" ref="B8" si="2">SUM(C8:H8)</f>
        <v>3999765.8771210001</v>
      </c>
      <c r="C8" s="321">
        <f>C11+C14</f>
        <v>3999765.8771210001</v>
      </c>
      <c r="D8" s="321">
        <f t="shared" ref="D8:H8" si="3">D11+D14</f>
        <v>0</v>
      </c>
      <c r="E8" s="321">
        <f t="shared" si="3"/>
        <v>0</v>
      </c>
      <c r="F8" s="321">
        <f t="shared" si="3"/>
        <v>0</v>
      </c>
      <c r="G8" s="321">
        <f t="shared" si="3"/>
        <v>0</v>
      </c>
      <c r="H8" s="321">
        <f t="shared" si="3"/>
        <v>0</v>
      </c>
      <c r="J8" s="290"/>
      <c r="L8" s="291" t="s">
        <v>31</v>
      </c>
      <c r="M8" s="292"/>
      <c r="N8" s="292"/>
      <c r="O8" s="292"/>
      <c r="P8" s="292"/>
      <c r="Q8" s="292"/>
      <c r="R8" s="292"/>
      <c r="S8" s="293" t="s">
        <v>32</v>
      </c>
    </row>
    <row r="9" spans="1:19" ht="18" customHeight="1" x14ac:dyDescent="0.2">
      <c r="A9" s="336" t="s">
        <v>9</v>
      </c>
      <c r="B9" s="322">
        <f>SUM(C9:H9)</f>
        <v>41698998.096399993</v>
      </c>
      <c r="C9" s="322">
        <f t="shared" ref="C9:H9" si="4">SUM(C10:C11)</f>
        <v>271564.17</v>
      </c>
      <c r="D9" s="322">
        <f t="shared" si="4"/>
        <v>651551.69999999995</v>
      </c>
      <c r="E9" s="322">
        <f t="shared" si="4"/>
        <v>134844</v>
      </c>
      <c r="F9" s="322">
        <f t="shared" si="4"/>
        <v>2958421.4142000005</v>
      </c>
      <c r="G9" s="322">
        <f t="shared" si="4"/>
        <v>9760</v>
      </c>
      <c r="H9" s="322">
        <f t="shared" si="4"/>
        <v>37672856.812199995</v>
      </c>
      <c r="L9" s="284"/>
      <c r="M9" s="285" t="s">
        <v>33</v>
      </c>
      <c r="N9" s="285" t="s">
        <v>34</v>
      </c>
      <c r="O9" s="285" t="s">
        <v>35</v>
      </c>
      <c r="P9" s="285" t="s">
        <v>36</v>
      </c>
      <c r="Q9" s="285" t="s">
        <v>37</v>
      </c>
      <c r="R9" s="285" t="s">
        <v>38</v>
      </c>
      <c r="S9" s="285" t="s">
        <v>39</v>
      </c>
    </row>
    <row r="10" spans="1:19" ht="18" customHeight="1" x14ac:dyDescent="0.2">
      <c r="A10" s="335" t="s">
        <v>46</v>
      </c>
      <c r="B10" s="321">
        <f>SUM(C10:H10)</f>
        <v>41427433.926399998</v>
      </c>
      <c r="C10" s="321">
        <v>0</v>
      </c>
      <c r="D10" s="321">
        <v>651551.69999999995</v>
      </c>
      <c r="E10" s="321">
        <v>134844</v>
      </c>
      <c r="F10" s="321">
        <v>2958421.4142000005</v>
      </c>
      <c r="G10" s="321">
        <v>9760</v>
      </c>
      <c r="H10" s="321">
        <v>37672856.812199995</v>
      </c>
      <c r="L10" s="287" t="s">
        <v>40</v>
      </c>
      <c r="M10" s="288"/>
      <c r="N10" s="288">
        <v>0</v>
      </c>
      <c r="O10" s="288"/>
      <c r="P10" s="288"/>
      <c r="Q10" s="288"/>
      <c r="R10" s="288"/>
      <c r="S10" s="289">
        <v>0</v>
      </c>
    </row>
    <row r="11" spans="1:19" ht="18" customHeight="1" x14ac:dyDescent="0.2">
      <c r="A11" s="335" t="s">
        <v>67</v>
      </c>
      <c r="B11" s="321">
        <f>SUM(C11:H11)</f>
        <v>271564.17</v>
      </c>
      <c r="C11" s="321">
        <v>271564.17</v>
      </c>
      <c r="D11" s="321">
        <v>0</v>
      </c>
      <c r="E11" s="321">
        <v>0</v>
      </c>
      <c r="F11" s="321">
        <v>0</v>
      </c>
      <c r="G11" s="321">
        <v>0</v>
      </c>
      <c r="H11" s="321">
        <v>0</v>
      </c>
      <c r="L11" s="287" t="s">
        <v>41</v>
      </c>
      <c r="M11" s="288"/>
      <c r="N11" s="288">
        <v>0</v>
      </c>
      <c r="O11" s="288">
        <v>5808</v>
      </c>
      <c r="P11" s="288">
        <v>2711</v>
      </c>
      <c r="Q11" s="288"/>
      <c r="R11" s="288"/>
      <c r="S11" s="289">
        <v>8519</v>
      </c>
    </row>
    <row r="12" spans="1:19" ht="18" customHeight="1" x14ac:dyDescent="0.2">
      <c r="A12" s="336" t="s">
        <v>10</v>
      </c>
      <c r="B12" s="322">
        <f>SUM(C12:H12)</f>
        <v>62326819.648888007</v>
      </c>
      <c r="C12" s="322">
        <f t="shared" ref="C12:H12" si="5">SUM(C13:C14)</f>
        <v>3728201.7071210002</v>
      </c>
      <c r="D12" s="322">
        <f t="shared" si="5"/>
        <v>14057840.973853005</v>
      </c>
      <c r="E12" s="322">
        <f t="shared" si="5"/>
        <v>4986238.7661950011</v>
      </c>
      <c r="F12" s="322">
        <f t="shared" si="5"/>
        <v>24821190.218286999</v>
      </c>
      <c r="G12" s="322">
        <f t="shared" si="5"/>
        <v>276167.35953900003</v>
      </c>
      <c r="H12" s="322">
        <f t="shared" si="5"/>
        <v>14457180.623893</v>
      </c>
      <c r="L12" s="287" t="s">
        <v>1</v>
      </c>
      <c r="M12" s="294">
        <v>0</v>
      </c>
      <c r="N12" s="294">
        <v>0</v>
      </c>
      <c r="O12" s="294">
        <v>5808</v>
      </c>
      <c r="P12" s="294">
        <v>2711</v>
      </c>
      <c r="Q12" s="294">
        <v>0</v>
      </c>
      <c r="R12" s="294">
        <v>0</v>
      </c>
      <c r="S12" s="294">
        <v>8519</v>
      </c>
    </row>
    <row r="13" spans="1:19" ht="18" customHeight="1" x14ac:dyDescent="0.2">
      <c r="A13" s="335" t="s">
        <v>46</v>
      </c>
      <c r="B13" s="321">
        <f t="shared" ref="B13:B14" si="6">SUM(C13:H13)</f>
        <v>58598617.941767007</v>
      </c>
      <c r="C13" s="321">
        <v>0</v>
      </c>
      <c r="D13" s="321">
        <v>14057840.973853005</v>
      </c>
      <c r="E13" s="321">
        <v>4986238.7661950011</v>
      </c>
      <c r="F13" s="321">
        <v>24821190.218286999</v>
      </c>
      <c r="G13" s="321">
        <v>276167.35953900003</v>
      </c>
      <c r="H13" s="321">
        <f>14465699.623893-8519</f>
        <v>14457180.623893</v>
      </c>
      <c r="I13" s="295"/>
      <c r="L13" s="287"/>
      <c r="M13" s="296"/>
      <c r="N13" s="296"/>
      <c r="O13" s="296"/>
      <c r="P13" s="296"/>
      <c r="Q13" s="296"/>
      <c r="R13" s="296"/>
      <c r="S13" s="297">
        <v>0</v>
      </c>
    </row>
    <row r="14" spans="1:19" ht="18" customHeight="1" x14ac:dyDescent="0.2">
      <c r="A14" s="335" t="s">
        <v>67</v>
      </c>
      <c r="B14" s="321">
        <f t="shared" si="6"/>
        <v>3728201.7071210002</v>
      </c>
      <c r="C14" s="321">
        <v>3728201.7071210002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J14" s="298"/>
      <c r="L14" s="299" t="s">
        <v>39</v>
      </c>
      <c r="M14" s="300">
        <v>0</v>
      </c>
      <c r="N14" s="300">
        <v>0</v>
      </c>
      <c r="O14" s="300">
        <v>5808</v>
      </c>
      <c r="P14" s="300">
        <v>2711</v>
      </c>
      <c r="Q14" s="300">
        <v>0</v>
      </c>
      <c r="R14" s="300">
        <v>0</v>
      </c>
      <c r="S14" s="300">
        <v>8519</v>
      </c>
    </row>
    <row r="15" spans="1:19" ht="18" customHeight="1" x14ac:dyDescent="0.2">
      <c r="A15" s="337" t="s">
        <v>14</v>
      </c>
      <c r="B15" s="323">
        <v>6819.8099999999995</v>
      </c>
      <c r="C15" s="320"/>
      <c r="D15" s="321"/>
      <c r="E15" s="321"/>
      <c r="F15" s="321"/>
      <c r="G15" s="321"/>
      <c r="H15" s="321"/>
      <c r="J15" s="290"/>
      <c r="K15" s="301"/>
    </row>
    <row r="16" spans="1:19" s="302" customFormat="1" ht="24.95" customHeight="1" thickBot="1" x14ac:dyDescent="0.25">
      <c r="A16" s="395" t="s">
        <v>13</v>
      </c>
      <c r="B16" s="395"/>
      <c r="C16" s="395"/>
      <c r="D16" s="395"/>
      <c r="E16" s="395"/>
      <c r="F16" s="395"/>
      <c r="G16" s="395"/>
      <c r="H16" s="395"/>
      <c r="J16" s="303"/>
      <c r="K16" s="301"/>
    </row>
    <row r="17" spans="1:14" ht="29.25" customHeight="1" thickBot="1" x14ac:dyDescent="0.25">
      <c r="A17" s="349" t="s">
        <v>72</v>
      </c>
      <c r="B17" s="350">
        <f>SUM(C17:H17)</f>
        <v>10.136592224000001</v>
      </c>
      <c r="C17" s="350">
        <f t="shared" ref="C17:H17" si="7">SUM(C18:C19)</f>
        <v>3.5434338959999998</v>
      </c>
      <c r="D17" s="350">
        <f t="shared" si="7"/>
        <v>0.19983880300000001</v>
      </c>
      <c r="E17" s="350">
        <f t="shared" si="7"/>
        <v>2.9604760000000001E-3</v>
      </c>
      <c r="F17" s="350">
        <f t="shared" si="7"/>
        <v>5.3277696519999997</v>
      </c>
      <c r="G17" s="350">
        <f t="shared" si="7"/>
        <v>0.27287182300000001</v>
      </c>
      <c r="H17" s="351">
        <f t="shared" si="7"/>
        <v>0.78971757399999998</v>
      </c>
      <c r="J17" s="304">
        <v>3.5434338959999998</v>
      </c>
      <c r="K17" s="305" t="s">
        <v>59</v>
      </c>
    </row>
    <row r="18" spans="1:14" ht="18" customHeight="1" x14ac:dyDescent="0.2">
      <c r="A18" s="338" t="s">
        <v>46</v>
      </c>
      <c r="B18" s="324">
        <f>SUM(C18:H18)</f>
        <v>6.5931583279999995</v>
      </c>
      <c r="C18" s="324">
        <v>0</v>
      </c>
      <c r="D18" s="324">
        <v>0.19983880300000001</v>
      </c>
      <c r="E18" s="324">
        <v>2.9604760000000001E-3</v>
      </c>
      <c r="F18" s="324">
        <v>5.3277696519999997</v>
      </c>
      <c r="G18" s="324">
        <v>0.27287182300000001</v>
      </c>
      <c r="H18" s="324">
        <v>0.78971757399999998</v>
      </c>
      <c r="J18" s="304">
        <v>6.5931583279999995</v>
      </c>
      <c r="K18" s="301" t="s">
        <v>58</v>
      </c>
      <c r="L18" s="306"/>
    </row>
    <row r="19" spans="1:14" ht="18" customHeight="1" x14ac:dyDescent="0.2">
      <c r="A19" s="335" t="s">
        <v>67</v>
      </c>
      <c r="B19" s="339">
        <f>SUM(C19:H19)</f>
        <v>3.5434338959999998</v>
      </c>
      <c r="C19" s="339">
        <v>3.5434338959999998</v>
      </c>
      <c r="D19" s="339">
        <v>0</v>
      </c>
      <c r="E19" s="339">
        <v>0</v>
      </c>
      <c r="F19" s="339">
        <v>0</v>
      </c>
      <c r="G19" s="339">
        <v>0</v>
      </c>
      <c r="H19" s="339">
        <v>0</v>
      </c>
      <c r="J19" s="307">
        <f>B17-J17-J18</f>
        <v>0</v>
      </c>
      <c r="K19" s="301"/>
      <c r="L19" s="308"/>
      <c r="N19" s="309"/>
    </row>
    <row r="20" spans="1:14" ht="24.95" customHeight="1" thickBot="1" x14ac:dyDescent="0.25">
      <c r="A20" s="395" t="s">
        <v>73</v>
      </c>
      <c r="B20" s="395"/>
      <c r="C20" s="395"/>
      <c r="D20" s="395"/>
      <c r="E20" s="395"/>
      <c r="F20" s="395"/>
      <c r="G20" s="395"/>
      <c r="H20" s="395"/>
      <c r="J20" s="310"/>
      <c r="K20" s="301"/>
    </row>
    <row r="21" spans="1:14" ht="49.5" customHeight="1" thickBot="1" x14ac:dyDescent="0.25">
      <c r="A21" s="343" t="s">
        <v>74</v>
      </c>
      <c r="B21" s="344">
        <f>SUM(B22:B26)</f>
        <v>28210891.834307998</v>
      </c>
      <c r="C21" s="345"/>
      <c r="D21" s="346"/>
      <c r="E21" s="347"/>
      <c r="F21" s="347"/>
      <c r="G21" s="347"/>
      <c r="H21" s="348"/>
      <c r="K21" s="301"/>
    </row>
    <row r="22" spans="1:14" ht="18" customHeight="1" x14ac:dyDescent="0.2">
      <c r="A22" s="338" t="s">
        <v>46</v>
      </c>
      <c r="B22" s="319">
        <v>26877903.975779999</v>
      </c>
      <c r="C22" s="325"/>
      <c r="D22" s="326"/>
      <c r="E22" s="325"/>
      <c r="F22" s="325"/>
      <c r="G22" s="325"/>
      <c r="H22" s="325"/>
      <c r="J22" s="283">
        <f>D29</f>
        <v>26873903.975779999</v>
      </c>
      <c r="K22" s="301" t="s">
        <v>61</v>
      </c>
    </row>
    <row r="23" spans="1:14" ht="30.75" customHeight="1" x14ac:dyDescent="0.2">
      <c r="A23" s="340" t="s">
        <v>49</v>
      </c>
      <c r="B23" s="321">
        <v>398726.27632800001</v>
      </c>
      <c r="C23" s="327"/>
      <c r="D23" s="328"/>
      <c r="E23" s="329"/>
      <c r="F23" s="329"/>
      <c r="G23" s="329"/>
      <c r="H23" s="329"/>
      <c r="J23" s="283">
        <f>D34</f>
        <v>1332987.8585279998</v>
      </c>
      <c r="K23" s="301" t="s">
        <v>60</v>
      </c>
    </row>
    <row r="24" spans="1:14" ht="18" customHeight="1" x14ac:dyDescent="0.2">
      <c r="A24" s="354" t="s">
        <v>24</v>
      </c>
      <c r="B24" s="321">
        <v>555744.03319999995</v>
      </c>
      <c r="C24" s="327"/>
      <c r="D24" s="328"/>
      <c r="E24" s="329"/>
      <c r="F24" s="329"/>
      <c r="G24" s="329"/>
      <c r="H24" s="329"/>
      <c r="J24" s="283">
        <v>4000</v>
      </c>
      <c r="K24" s="301" t="s">
        <v>62</v>
      </c>
    </row>
    <row r="25" spans="1:14" ht="18" customHeight="1" x14ac:dyDescent="0.2">
      <c r="A25" s="335" t="s">
        <v>20</v>
      </c>
      <c r="B25" s="321">
        <v>200945.11900000001</v>
      </c>
      <c r="C25" s="327"/>
      <c r="D25" s="328"/>
      <c r="E25" s="329"/>
      <c r="F25" s="329"/>
      <c r="G25" s="329"/>
      <c r="H25" s="329"/>
      <c r="J25" s="286">
        <f>B21-J22-J23-J24</f>
        <v>-4.6566128730773926E-10</v>
      </c>
    </row>
    <row r="26" spans="1:14" ht="18" customHeight="1" x14ac:dyDescent="0.2">
      <c r="A26" s="335" t="s">
        <v>22</v>
      </c>
      <c r="B26" s="321">
        <v>177572.43</v>
      </c>
      <c r="C26" s="327"/>
      <c r="D26" s="329"/>
      <c r="E26" s="329"/>
      <c r="F26" s="329"/>
      <c r="G26" s="329"/>
      <c r="H26" s="329"/>
    </row>
    <row r="27" spans="1:14" hidden="1" x14ac:dyDescent="0.2">
      <c r="B27" s="311"/>
      <c r="C27" s="312"/>
    </row>
    <row r="28" spans="1:14" hidden="1" x14ac:dyDescent="0.2">
      <c r="A28" s="313"/>
      <c r="B28" s="283" t="s">
        <v>64</v>
      </c>
      <c r="C28" s="314"/>
      <c r="D28" s="315" t="s">
        <v>65</v>
      </c>
      <c r="E28" s="315"/>
    </row>
    <row r="29" spans="1:14" hidden="1" x14ac:dyDescent="0.2">
      <c r="A29" s="301" t="s">
        <v>46</v>
      </c>
      <c r="B29" s="283">
        <v>26873903.975780033</v>
      </c>
      <c r="C29" s="283">
        <f>B22-B29-J24</f>
        <v>-3.3527612686157227E-8</v>
      </c>
      <c r="D29" s="316">
        <v>26873903.975779999</v>
      </c>
      <c r="E29" s="283">
        <f>B29-D29</f>
        <v>3.3527612686157227E-8</v>
      </c>
      <c r="F29" s="311">
        <f>B29+J24</f>
        <v>26877903.975780033</v>
      </c>
    </row>
    <row r="30" spans="1:14" hidden="1" x14ac:dyDescent="0.2">
      <c r="A30" s="301" t="s">
        <v>49</v>
      </c>
      <c r="B30" s="283">
        <v>398726.27632800001</v>
      </c>
      <c r="C30" s="283">
        <f>B23-B30</f>
        <v>0</v>
      </c>
      <c r="D30" s="316">
        <v>398726.27632800001</v>
      </c>
      <c r="E30" s="283">
        <f>B30-D30</f>
        <v>0</v>
      </c>
      <c r="F30" s="311">
        <f>B23+B24+B25+B26+F29</f>
        <v>28210891.834308032</v>
      </c>
    </row>
    <row r="31" spans="1:14" hidden="1" x14ac:dyDescent="0.2">
      <c r="A31" s="301" t="s">
        <v>24</v>
      </c>
      <c r="B31" s="283">
        <v>555744.03320000006</v>
      </c>
      <c r="C31" s="283">
        <f>B24-B31</f>
        <v>0</v>
      </c>
      <c r="D31" s="316">
        <v>555744.03319999995</v>
      </c>
      <c r="E31" s="283">
        <f>B31-D31</f>
        <v>0</v>
      </c>
    </row>
    <row r="32" spans="1:14" hidden="1" x14ac:dyDescent="0.2">
      <c r="A32" s="301" t="s">
        <v>20</v>
      </c>
      <c r="B32" s="283">
        <v>200945.11900000001</v>
      </c>
      <c r="C32" s="283">
        <f>B25-B32</f>
        <v>0</v>
      </c>
      <c r="D32" s="316">
        <v>200945.11900000001</v>
      </c>
      <c r="E32" s="283">
        <f t="shared" ref="E32" si="8">B32-D32</f>
        <v>0</v>
      </c>
    </row>
    <row r="33" spans="1:5" hidden="1" x14ac:dyDescent="0.2">
      <c r="A33" s="301" t="s">
        <v>22</v>
      </c>
      <c r="B33" s="283">
        <v>177572.43000000005</v>
      </c>
      <c r="C33" s="283">
        <f>B26-B33</f>
        <v>0</v>
      </c>
      <c r="D33" s="316">
        <v>177572.43</v>
      </c>
      <c r="E33" s="283">
        <f>B33-D33</f>
        <v>0</v>
      </c>
    </row>
    <row r="34" spans="1:5" hidden="1" x14ac:dyDescent="0.2">
      <c r="B34" s="283">
        <f>SUM(B30:B33)</f>
        <v>1332987.8585280003</v>
      </c>
      <c r="C34" s="283">
        <f>SUM(C29:C33)</f>
        <v>-3.3527612686157227E-8</v>
      </c>
      <c r="D34" s="316">
        <f>SUM(D30:D33)</f>
        <v>1332987.8585279998</v>
      </c>
      <c r="E34" s="283">
        <f>SUM(E29:E33)</f>
        <v>3.3527612686157227E-8</v>
      </c>
    </row>
    <row r="35" spans="1:5" hidden="1" x14ac:dyDescent="0.2">
      <c r="B35" s="317">
        <f>B34+B29+J24-B22</f>
        <v>1332987.8585280329</v>
      </c>
      <c r="C35" s="283"/>
      <c r="D35" s="316">
        <f>D34+D29</f>
        <v>28206891.834307998</v>
      </c>
      <c r="E35" s="283"/>
    </row>
    <row r="36" spans="1:5" hidden="1" x14ac:dyDescent="0.2">
      <c r="B36" s="283"/>
      <c r="C36" s="315"/>
      <c r="D36" s="315"/>
      <c r="E36" s="315"/>
    </row>
    <row r="37" spans="1:5" x14ac:dyDescent="0.2">
      <c r="B37" s="318"/>
    </row>
    <row r="41" spans="1:5" x14ac:dyDescent="0.2">
      <c r="B41" s="311"/>
    </row>
    <row r="42" spans="1:5" x14ac:dyDescent="0.2">
      <c r="B42" s="311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C7" sqref="C7:H8"/>
    </sheetView>
  </sheetViews>
  <sheetFormatPr defaultRowHeight="12.75" x14ac:dyDescent="0.2"/>
  <cols>
    <col min="1" max="1" width="58.5703125" style="279" customWidth="1"/>
    <col min="2" max="2" width="21.85546875" style="279" customWidth="1"/>
    <col min="3" max="8" width="20.28515625" style="279" customWidth="1"/>
    <col min="9" max="9" width="3.42578125" style="279" hidden="1" customWidth="1"/>
    <col min="10" max="10" width="21.28515625" style="280" hidden="1" customWidth="1"/>
    <col min="11" max="11" width="8.140625" style="279" hidden="1" customWidth="1"/>
    <col min="12" max="12" width="11.140625" style="279" hidden="1" customWidth="1"/>
    <col min="13" max="13" width="11.7109375" style="279" hidden="1" customWidth="1"/>
    <col min="14" max="17" width="7.28515625" style="279" hidden="1" customWidth="1"/>
    <col min="18" max="19" width="9.140625" style="279" hidden="1" customWidth="1"/>
    <col min="20" max="21" width="9.140625" style="279" customWidth="1"/>
    <col min="22" max="16384" width="9.140625" style="279"/>
  </cols>
  <sheetData>
    <row r="1" spans="1:19" ht="20.25" customHeight="1" x14ac:dyDescent="0.2">
      <c r="A1" s="396" t="s">
        <v>15</v>
      </c>
      <c r="B1" s="396"/>
      <c r="C1" s="396"/>
      <c r="D1" s="396"/>
      <c r="E1" s="396"/>
      <c r="F1" s="396"/>
      <c r="G1" s="396"/>
      <c r="H1" s="396"/>
    </row>
    <row r="2" spans="1:19" ht="42" customHeight="1" x14ac:dyDescent="0.2">
      <c r="A2" s="397" t="s">
        <v>50</v>
      </c>
      <c r="B2" s="397"/>
      <c r="C2" s="397"/>
      <c r="D2" s="397"/>
      <c r="E2" s="397"/>
      <c r="F2" s="397"/>
      <c r="G2" s="397"/>
      <c r="H2" s="397"/>
    </row>
    <row r="3" spans="1:19" ht="24.75" customHeight="1" x14ac:dyDescent="0.2">
      <c r="A3" s="398">
        <v>45383</v>
      </c>
      <c r="B3" s="398"/>
      <c r="C3" s="398"/>
      <c r="D3" s="398"/>
      <c r="E3" s="398"/>
      <c r="F3" s="398"/>
      <c r="G3" s="398"/>
      <c r="H3" s="398"/>
    </row>
    <row r="4" spans="1:19" ht="24.95" customHeight="1" x14ac:dyDescent="0.2">
      <c r="A4" s="399" t="s">
        <v>12</v>
      </c>
      <c r="B4" s="399"/>
      <c r="C4" s="399"/>
      <c r="D4" s="399"/>
      <c r="E4" s="399"/>
      <c r="F4" s="399"/>
      <c r="G4" s="399"/>
      <c r="H4" s="399"/>
    </row>
    <row r="5" spans="1:19" ht="66.75" customHeight="1" thickBot="1" x14ac:dyDescent="0.25">
      <c r="A5" s="353" t="s">
        <v>0</v>
      </c>
      <c r="B5" s="341" t="s">
        <v>1</v>
      </c>
      <c r="C5" s="342" t="s">
        <v>68</v>
      </c>
      <c r="D5" s="342" t="s">
        <v>53</v>
      </c>
      <c r="E5" s="342" t="s">
        <v>69</v>
      </c>
      <c r="F5" s="342" t="s">
        <v>70</v>
      </c>
      <c r="G5" s="342" t="s">
        <v>63</v>
      </c>
      <c r="H5" s="342" t="s">
        <v>54</v>
      </c>
      <c r="L5" s="355" t="s">
        <v>66</v>
      </c>
      <c r="M5" s="282"/>
      <c r="N5" s="282"/>
      <c r="O5" s="282"/>
      <c r="P5" s="282"/>
      <c r="Q5" s="282"/>
      <c r="R5" s="282"/>
      <c r="S5" s="282"/>
    </row>
    <row r="6" spans="1:19" s="330" customFormat="1" ht="29.25" customHeight="1" thickBot="1" x14ac:dyDescent="0.25">
      <c r="A6" s="349" t="s">
        <v>71</v>
      </c>
      <c r="B6" s="344">
        <f>B7+B8</f>
        <v>88322795.380316988</v>
      </c>
      <c r="C6" s="344">
        <f t="shared" ref="C6:H6" si="0">C7+C8</f>
        <v>2297377.0821099998</v>
      </c>
      <c r="D6" s="344">
        <f t="shared" si="0"/>
        <v>11901683.252951998</v>
      </c>
      <c r="E6" s="344">
        <f t="shared" si="0"/>
        <v>4412473.2012019996</v>
      </c>
      <c r="F6" s="344">
        <f t="shared" si="0"/>
        <v>22893711.100409001</v>
      </c>
      <c r="G6" s="344">
        <f t="shared" si="0"/>
        <v>192579.41434300001</v>
      </c>
      <c r="H6" s="352">
        <f t="shared" si="0"/>
        <v>46624971.329300992</v>
      </c>
      <c r="J6" s="331">
        <v>88332310.380317003</v>
      </c>
      <c r="K6" s="332" t="s">
        <v>57</v>
      </c>
      <c r="L6" s="356" t="s">
        <v>31</v>
      </c>
      <c r="M6" s="292"/>
      <c r="N6" s="292"/>
      <c r="O6" s="292"/>
      <c r="P6" s="292"/>
      <c r="Q6" s="292"/>
      <c r="R6" s="292"/>
      <c r="S6" s="357" t="s">
        <v>32</v>
      </c>
    </row>
    <row r="7" spans="1:19" ht="18" customHeight="1" x14ac:dyDescent="0.2">
      <c r="A7" s="338" t="s">
        <v>46</v>
      </c>
      <c r="B7" s="319">
        <f>SUM(C7:H7)</f>
        <v>86025418.298206985</v>
      </c>
      <c r="C7" s="319">
        <f t="shared" ref="C7:H8" si="1">C10+C13</f>
        <v>0</v>
      </c>
      <c r="D7" s="319">
        <f t="shared" si="1"/>
        <v>11901683.252951998</v>
      </c>
      <c r="E7" s="319">
        <f t="shared" si="1"/>
        <v>4412473.2012019996</v>
      </c>
      <c r="F7" s="319">
        <f t="shared" si="1"/>
        <v>22893711.100409001</v>
      </c>
      <c r="G7" s="319">
        <f t="shared" si="1"/>
        <v>192579.41434300001</v>
      </c>
      <c r="H7" s="319">
        <f t="shared" si="1"/>
        <v>46624971.329300992</v>
      </c>
      <c r="J7" s="286">
        <f>B6-J6+S12</f>
        <v>-1.4901161193847656E-8</v>
      </c>
      <c r="L7" s="284"/>
      <c r="M7" s="358" t="s">
        <v>33</v>
      </c>
      <c r="N7" s="358" t="s">
        <v>34</v>
      </c>
      <c r="O7" s="358" t="s">
        <v>35</v>
      </c>
      <c r="P7" s="358" t="s">
        <v>36</v>
      </c>
      <c r="Q7" s="358" t="s">
        <v>37</v>
      </c>
      <c r="R7" s="358" t="s">
        <v>38</v>
      </c>
      <c r="S7" s="358" t="s">
        <v>39</v>
      </c>
    </row>
    <row r="8" spans="1:19" ht="18" customHeight="1" x14ac:dyDescent="0.2">
      <c r="A8" s="335" t="s">
        <v>67</v>
      </c>
      <c r="B8" s="321">
        <f t="shared" ref="B8" si="2">SUM(C8:H8)</f>
        <v>2297377.0821099998</v>
      </c>
      <c r="C8" s="321">
        <f t="shared" si="1"/>
        <v>2297377.0821099998</v>
      </c>
      <c r="D8" s="321">
        <f t="shared" si="1"/>
        <v>0</v>
      </c>
      <c r="E8" s="321">
        <f t="shared" si="1"/>
        <v>0</v>
      </c>
      <c r="F8" s="321">
        <f t="shared" si="1"/>
        <v>0</v>
      </c>
      <c r="G8" s="321">
        <f t="shared" si="1"/>
        <v>0</v>
      </c>
      <c r="H8" s="321">
        <f t="shared" si="1"/>
        <v>0</v>
      </c>
      <c r="J8" s="290"/>
      <c r="L8" s="359" t="s">
        <v>40</v>
      </c>
      <c r="M8" s="288"/>
      <c r="N8" s="288">
        <v>0</v>
      </c>
      <c r="O8" s="288"/>
      <c r="P8" s="288"/>
      <c r="Q8" s="288"/>
      <c r="R8" s="288"/>
      <c r="S8" s="360">
        <f>SUM(M8:R8)</f>
        <v>0</v>
      </c>
    </row>
    <row r="9" spans="1:19" ht="18" customHeight="1" x14ac:dyDescent="0.2">
      <c r="A9" s="336" t="s">
        <v>9</v>
      </c>
      <c r="B9" s="322">
        <f>SUM(C9:H9)</f>
        <v>39216823.444599994</v>
      </c>
      <c r="C9" s="322">
        <f t="shared" ref="C9:H9" si="3">SUM(C10:C11)</f>
        <v>236612.93</v>
      </c>
      <c r="D9" s="322">
        <f t="shared" si="3"/>
        <v>652876.10000000009</v>
      </c>
      <c r="E9" s="322">
        <f t="shared" si="3"/>
        <v>114640</v>
      </c>
      <c r="F9" s="322">
        <f t="shared" si="3"/>
        <v>2868373.6454000007</v>
      </c>
      <c r="G9" s="322">
        <f t="shared" si="3"/>
        <v>4400</v>
      </c>
      <c r="H9" s="322">
        <f t="shared" si="3"/>
        <v>35339920.76919999</v>
      </c>
      <c r="L9" s="359" t="s">
        <v>41</v>
      </c>
      <c r="M9" s="288"/>
      <c r="N9" s="288">
        <v>0</v>
      </c>
      <c r="O9" s="288">
        <v>5520</v>
      </c>
      <c r="P9" s="288">
        <v>3995</v>
      </c>
      <c r="Q9" s="288"/>
      <c r="R9" s="288"/>
      <c r="S9" s="360">
        <f>SUM(M9:R9)</f>
        <v>9515</v>
      </c>
    </row>
    <row r="10" spans="1:19" ht="18" customHeight="1" x14ac:dyDescent="0.2">
      <c r="A10" s="335" t="s">
        <v>46</v>
      </c>
      <c r="B10" s="321">
        <f>SUM(C10:H10)</f>
        <v>38980210.514599994</v>
      </c>
      <c r="C10" s="321">
        <v>0</v>
      </c>
      <c r="D10" s="321">
        <v>652876.10000000009</v>
      </c>
      <c r="E10" s="321">
        <v>114640</v>
      </c>
      <c r="F10" s="321">
        <v>2868373.6454000007</v>
      </c>
      <c r="G10" s="321">
        <v>4400</v>
      </c>
      <c r="H10" s="321">
        <v>35339920.76919999</v>
      </c>
      <c r="L10" s="359" t="s">
        <v>1</v>
      </c>
      <c r="M10" s="361">
        <f t="shared" ref="M10:R10" si="4">M8+M9</f>
        <v>0</v>
      </c>
      <c r="N10" s="361">
        <f t="shared" si="4"/>
        <v>0</v>
      </c>
      <c r="O10" s="361">
        <f t="shared" si="4"/>
        <v>5520</v>
      </c>
      <c r="P10" s="361">
        <f t="shared" si="4"/>
        <v>3995</v>
      </c>
      <c r="Q10" s="361">
        <f t="shared" si="4"/>
        <v>0</v>
      </c>
      <c r="R10" s="361">
        <f t="shared" si="4"/>
        <v>0</v>
      </c>
      <c r="S10" s="361">
        <f>SUM(M10:R10)</f>
        <v>9515</v>
      </c>
    </row>
    <row r="11" spans="1:19" ht="18" customHeight="1" x14ac:dyDescent="0.2">
      <c r="A11" s="335" t="s">
        <v>67</v>
      </c>
      <c r="B11" s="321">
        <f>SUM(C11:H11)</f>
        <v>236612.93</v>
      </c>
      <c r="C11" s="321">
        <v>236612.93</v>
      </c>
      <c r="D11" s="321">
        <v>0</v>
      </c>
      <c r="E11" s="321">
        <v>0</v>
      </c>
      <c r="F11" s="321">
        <v>0</v>
      </c>
      <c r="G11" s="321">
        <v>0</v>
      </c>
      <c r="H11" s="321">
        <v>0</v>
      </c>
      <c r="L11" s="359"/>
      <c r="M11" s="296"/>
      <c r="N11" s="296"/>
      <c r="O11" s="296"/>
      <c r="P11" s="296"/>
      <c r="Q11" s="296"/>
      <c r="R11" s="296"/>
      <c r="S11" s="362">
        <f>SUM(N11:R11)</f>
        <v>0</v>
      </c>
    </row>
    <row r="12" spans="1:19" ht="18" customHeight="1" x14ac:dyDescent="0.2">
      <c r="A12" s="336" t="s">
        <v>10</v>
      </c>
      <c r="B12" s="322">
        <f>SUM(C12:H12)</f>
        <v>49105971.935717002</v>
      </c>
      <c r="C12" s="322">
        <f t="shared" ref="C12:H12" si="5">SUM(C13:C14)</f>
        <v>2060764.1521099999</v>
      </c>
      <c r="D12" s="322">
        <f t="shared" si="5"/>
        <v>11248807.152951999</v>
      </c>
      <c r="E12" s="322">
        <f t="shared" si="5"/>
        <v>4297833.2012019996</v>
      </c>
      <c r="F12" s="322">
        <f t="shared" si="5"/>
        <v>20025337.455008999</v>
      </c>
      <c r="G12" s="322">
        <f t="shared" si="5"/>
        <v>188179.41434300001</v>
      </c>
      <c r="H12" s="322">
        <f t="shared" si="5"/>
        <v>11285050.560101001</v>
      </c>
      <c r="L12" s="363" t="s">
        <v>39</v>
      </c>
      <c r="M12" s="364">
        <f t="shared" ref="M12:R12" si="6">M10+M11</f>
        <v>0</v>
      </c>
      <c r="N12" s="364">
        <f t="shared" si="6"/>
        <v>0</v>
      </c>
      <c r="O12" s="364">
        <f t="shared" si="6"/>
        <v>5520</v>
      </c>
      <c r="P12" s="364">
        <f t="shared" si="6"/>
        <v>3995</v>
      </c>
      <c r="Q12" s="364">
        <f t="shared" si="6"/>
        <v>0</v>
      </c>
      <c r="R12" s="364">
        <f t="shared" si="6"/>
        <v>0</v>
      </c>
      <c r="S12" s="365">
        <f>SUM(M12:R12)</f>
        <v>9515</v>
      </c>
    </row>
    <row r="13" spans="1:19" ht="18" customHeight="1" x14ac:dyDescent="0.2">
      <c r="A13" s="335" t="s">
        <v>46</v>
      </c>
      <c r="B13" s="321">
        <f t="shared" ref="B13:B14" si="7">SUM(C13:H13)</f>
        <v>47045207.783606999</v>
      </c>
      <c r="C13" s="321">
        <v>0</v>
      </c>
      <c r="D13" s="321">
        <v>11248807.152951999</v>
      </c>
      <c r="E13" s="321">
        <v>4297833.2012019996</v>
      </c>
      <c r="F13" s="321">
        <v>20025337.455008999</v>
      </c>
      <c r="G13" s="321">
        <v>188179.41434300001</v>
      </c>
      <c r="H13" s="321">
        <f>11294565.560101-9515</f>
        <v>11285050.560101001</v>
      </c>
      <c r="I13" s="295"/>
    </row>
    <row r="14" spans="1:19" ht="18" customHeight="1" x14ac:dyDescent="0.2">
      <c r="A14" s="335" t="s">
        <v>67</v>
      </c>
      <c r="B14" s="321">
        <f t="shared" si="7"/>
        <v>2060764.1521099999</v>
      </c>
      <c r="C14" s="321">
        <v>2060764.1521099999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J14" s="298"/>
    </row>
    <row r="15" spans="1:19" ht="18" customHeight="1" x14ac:dyDescent="0.2">
      <c r="A15" s="337" t="s">
        <v>14</v>
      </c>
      <c r="B15" s="323">
        <v>2547.3249999999998</v>
      </c>
      <c r="C15" s="320"/>
      <c r="D15" s="321"/>
      <c r="E15" s="321"/>
      <c r="F15" s="321"/>
      <c r="G15" s="321"/>
      <c r="H15" s="321"/>
      <c r="J15" s="290"/>
      <c r="K15" s="301"/>
    </row>
    <row r="16" spans="1:19" s="302" customFormat="1" ht="24.95" customHeight="1" thickBot="1" x14ac:dyDescent="0.25">
      <c r="A16" s="395" t="s">
        <v>13</v>
      </c>
      <c r="B16" s="395"/>
      <c r="C16" s="395"/>
      <c r="D16" s="395"/>
      <c r="E16" s="395"/>
      <c r="F16" s="395"/>
      <c r="G16" s="395"/>
      <c r="H16" s="395"/>
      <c r="J16" s="303"/>
      <c r="K16" s="301"/>
    </row>
    <row r="17" spans="1:14" ht="29.25" customHeight="1" thickBot="1" x14ac:dyDescent="0.25">
      <c r="A17" s="349" t="s">
        <v>72</v>
      </c>
      <c r="B17" s="350">
        <f>SUM(C17:H17)</f>
        <v>8.2869979390000008</v>
      </c>
      <c r="C17" s="350">
        <f t="shared" ref="C17:H17" si="8">SUM(C18:C19)</f>
        <v>2.647653187</v>
      </c>
      <c r="D17" s="350">
        <f t="shared" si="8"/>
        <v>0.203383169</v>
      </c>
      <c r="E17" s="350">
        <f t="shared" si="8"/>
        <v>2.7737980000000001E-3</v>
      </c>
      <c r="F17" s="350">
        <f t="shared" si="8"/>
        <v>4.6528153919999999</v>
      </c>
      <c r="G17" s="350">
        <f t="shared" si="8"/>
        <v>0.22507591900000001</v>
      </c>
      <c r="H17" s="351">
        <f t="shared" si="8"/>
        <v>0.55529647400000004</v>
      </c>
      <c r="J17" s="304">
        <v>2.647653187</v>
      </c>
      <c r="K17" s="305" t="s">
        <v>76</v>
      </c>
      <c r="L17" s="306">
        <v>8.2869979390000008</v>
      </c>
      <c r="M17" s="306">
        <f>B17-L17</f>
        <v>0</v>
      </c>
    </row>
    <row r="18" spans="1:14" ht="18" customHeight="1" x14ac:dyDescent="0.2">
      <c r="A18" s="338" t="s">
        <v>46</v>
      </c>
      <c r="B18" s="324">
        <f>SUM(C18:H18)</f>
        <v>5.6393447520000004</v>
      </c>
      <c r="C18" s="324">
        <v>0</v>
      </c>
      <c r="D18" s="324">
        <v>0.203383169</v>
      </c>
      <c r="E18" s="324">
        <v>2.7737980000000001E-3</v>
      </c>
      <c r="F18" s="324">
        <v>4.6528153919999999</v>
      </c>
      <c r="G18" s="324">
        <v>0.22507591900000001</v>
      </c>
      <c r="H18" s="324">
        <v>0.55529647400000004</v>
      </c>
      <c r="J18" s="304">
        <v>5.6346304660000008</v>
      </c>
      <c r="K18" s="301" t="s">
        <v>58</v>
      </c>
      <c r="L18" s="306"/>
    </row>
    <row r="19" spans="1:14" ht="18" customHeight="1" x14ac:dyDescent="0.2">
      <c r="A19" s="335" t="s">
        <v>67</v>
      </c>
      <c r="B19" s="339">
        <f>SUM(C19:H19)</f>
        <v>2.647653187</v>
      </c>
      <c r="C19" s="339">
        <v>2.647653187</v>
      </c>
      <c r="D19" s="339">
        <v>0</v>
      </c>
      <c r="E19" s="339">
        <v>0</v>
      </c>
      <c r="F19" s="339">
        <v>0</v>
      </c>
      <c r="G19" s="339">
        <v>0</v>
      </c>
      <c r="H19" s="339">
        <v>0</v>
      </c>
      <c r="J19" s="307">
        <f>B17-J17-J18</f>
        <v>4.7142860000004561E-3</v>
      </c>
      <c r="K19" s="301" t="s">
        <v>75</v>
      </c>
      <c r="L19" s="308"/>
      <c r="N19" s="309"/>
    </row>
    <row r="20" spans="1:14" ht="24.95" customHeight="1" thickBot="1" x14ac:dyDescent="0.25">
      <c r="A20" s="395" t="s">
        <v>73</v>
      </c>
      <c r="B20" s="395"/>
      <c r="C20" s="395"/>
      <c r="D20" s="395"/>
      <c r="E20" s="395"/>
      <c r="F20" s="395"/>
      <c r="G20" s="395"/>
      <c r="H20" s="395"/>
      <c r="J20" s="310"/>
      <c r="K20" s="301"/>
    </row>
    <row r="21" spans="1:14" ht="49.5" customHeight="1" thickBot="1" x14ac:dyDescent="0.25">
      <c r="A21" s="343" t="s">
        <v>74</v>
      </c>
      <c r="B21" s="344">
        <f>SUM(B22:B26)</f>
        <v>16191260.516102999</v>
      </c>
      <c r="C21" s="345"/>
      <c r="D21" s="346"/>
      <c r="E21" s="347"/>
      <c r="F21" s="347"/>
      <c r="G21" s="347"/>
      <c r="H21" s="348"/>
      <c r="K21" s="301"/>
    </row>
    <row r="22" spans="1:14" ht="18" customHeight="1" x14ac:dyDescent="0.2">
      <c r="A22" s="338" t="s">
        <v>46</v>
      </c>
      <c r="B22" s="319">
        <v>15200931.328069</v>
      </c>
      <c r="C22" s="325"/>
      <c r="D22" s="326"/>
      <c r="E22" s="325"/>
      <c r="F22" s="325"/>
      <c r="G22" s="325"/>
      <c r="H22" s="325"/>
      <c r="J22" s="283">
        <f>D29</f>
        <v>15235583.128069</v>
      </c>
      <c r="K22" s="301" t="s">
        <v>61</v>
      </c>
    </row>
    <row r="23" spans="1:14" ht="30.75" customHeight="1" x14ac:dyDescent="0.2">
      <c r="A23" s="340" t="s">
        <v>49</v>
      </c>
      <c r="B23" s="321">
        <v>369274.16473399999</v>
      </c>
      <c r="C23" s="327"/>
      <c r="D23" s="328"/>
      <c r="E23" s="329"/>
      <c r="F23" s="329"/>
      <c r="G23" s="329"/>
      <c r="H23" s="329"/>
      <c r="J23" s="283">
        <f>D34</f>
        <v>990329.18803399999</v>
      </c>
      <c r="K23" s="301" t="s">
        <v>60</v>
      </c>
    </row>
    <row r="24" spans="1:14" ht="18" customHeight="1" x14ac:dyDescent="0.2">
      <c r="A24" s="354" t="s">
        <v>24</v>
      </c>
      <c r="B24" s="321">
        <v>505111.63630000001</v>
      </c>
      <c r="C24" s="327"/>
      <c r="D24" s="328"/>
      <c r="E24" s="329"/>
      <c r="F24" s="329"/>
      <c r="G24" s="329"/>
      <c r="H24" s="329"/>
      <c r="J24" s="283">
        <v>-34651.800000000003</v>
      </c>
      <c r="K24" s="301" t="s">
        <v>62</v>
      </c>
    </row>
    <row r="25" spans="1:14" ht="18" customHeight="1" x14ac:dyDescent="0.2">
      <c r="A25" s="335" t="s">
        <v>20</v>
      </c>
      <c r="B25" s="321">
        <v>87847.502999999997</v>
      </c>
      <c r="C25" s="327"/>
      <c r="D25" s="328"/>
      <c r="E25" s="329"/>
      <c r="F25" s="329"/>
      <c r="G25" s="329"/>
      <c r="H25" s="329"/>
      <c r="J25" s="286">
        <f>B21-J22-J23-J24</f>
        <v>-8.5856299847364426E-10</v>
      </c>
    </row>
    <row r="26" spans="1:14" ht="18" customHeight="1" x14ac:dyDescent="0.2">
      <c r="A26" s="335" t="s">
        <v>22</v>
      </c>
      <c r="B26" s="321">
        <v>28095.883999999998</v>
      </c>
      <c r="C26" s="327"/>
      <c r="D26" s="329"/>
      <c r="E26" s="329"/>
      <c r="F26" s="329"/>
      <c r="G26" s="329"/>
      <c r="H26" s="329"/>
    </row>
    <row r="27" spans="1:14" hidden="1" x14ac:dyDescent="0.2">
      <c r="B27" s="311"/>
      <c r="C27" s="312"/>
    </row>
    <row r="28" spans="1:14" hidden="1" x14ac:dyDescent="0.2">
      <c r="A28" s="313"/>
      <c r="B28" s="283" t="s">
        <v>64</v>
      </c>
      <c r="C28" s="314"/>
      <c r="D28" s="315" t="s">
        <v>65</v>
      </c>
      <c r="E28" s="315"/>
    </row>
    <row r="29" spans="1:14" hidden="1" x14ac:dyDescent="0.2">
      <c r="A29" s="301" t="s">
        <v>46</v>
      </c>
      <c r="B29" s="283">
        <v>15235583.128069013</v>
      </c>
      <c r="C29" s="283">
        <f>B22-B29-J24</f>
        <v>-1.3780663721263409E-8</v>
      </c>
      <c r="D29" s="316">
        <v>15235583.128069</v>
      </c>
      <c r="E29" s="283">
        <f>B29-D29</f>
        <v>0</v>
      </c>
      <c r="F29" s="311"/>
    </row>
    <row r="30" spans="1:14" hidden="1" x14ac:dyDescent="0.2">
      <c r="A30" s="301" t="s">
        <v>49</v>
      </c>
      <c r="B30" s="283">
        <v>369274.16473399999</v>
      </c>
      <c r="C30" s="283">
        <f>B23-B30</f>
        <v>0</v>
      </c>
      <c r="D30" s="316">
        <v>369274.16473399999</v>
      </c>
      <c r="E30" s="283">
        <f>B30-D30</f>
        <v>0</v>
      </c>
      <c r="F30" s="311"/>
    </row>
    <row r="31" spans="1:14" hidden="1" x14ac:dyDescent="0.2">
      <c r="A31" s="301" t="s">
        <v>24</v>
      </c>
      <c r="B31" s="283">
        <v>505111.63630000025</v>
      </c>
      <c r="C31" s="283">
        <f>B24-B31</f>
        <v>0</v>
      </c>
      <c r="D31" s="316">
        <v>505111.63630000001</v>
      </c>
      <c r="E31" s="283">
        <f>B31-D31</f>
        <v>0</v>
      </c>
    </row>
    <row r="32" spans="1:14" hidden="1" x14ac:dyDescent="0.2">
      <c r="A32" s="301" t="s">
        <v>20</v>
      </c>
      <c r="B32" s="283">
        <v>87847.502999999997</v>
      </c>
      <c r="C32" s="283">
        <f>B25-B32</f>
        <v>0</v>
      </c>
      <c r="D32" s="316">
        <v>87847.502999999997</v>
      </c>
      <c r="E32" s="283">
        <f t="shared" ref="E32" si="9">B32-D32</f>
        <v>0</v>
      </c>
    </row>
    <row r="33" spans="1:5" hidden="1" x14ac:dyDescent="0.2">
      <c r="A33" s="301" t="s">
        <v>22</v>
      </c>
      <c r="B33" s="283">
        <v>28095.88400000002</v>
      </c>
      <c r="C33" s="283">
        <f>B26-B33</f>
        <v>0</v>
      </c>
      <c r="D33" s="316">
        <v>28095.883999999998</v>
      </c>
      <c r="E33" s="283">
        <f>B33-D33</f>
        <v>0</v>
      </c>
    </row>
    <row r="34" spans="1:5" hidden="1" x14ac:dyDescent="0.2">
      <c r="B34" s="283">
        <f>SUM(B30:B33)</f>
        <v>990329.18803400034</v>
      </c>
      <c r="C34" s="283">
        <f>SUM(C29:C33)</f>
        <v>-1.3780663721263409E-8</v>
      </c>
      <c r="D34" s="316">
        <f>SUM(D30:D33)</f>
        <v>990329.18803399999</v>
      </c>
      <c r="E34" s="283">
        <f>SUM(E29:E33)</f>
        <v>0</v>
      </c>
    </row>
    <row r="35" spans="1:5" hidden="1" x14ac:dyDescent="0.2">
      <c r="B35" s="317">
        <f>B34+B29+J24-B22</f>
        <v>990329.18803401291</v>
      </c>
      <c r="C35" s="283"/>
      <c r="D35" s="316">
        <f>D34+D29</f>
        <v>16225912.316103</v>
      </c>
      <c r="E35" s="283"/>
    </row>
    <row r="36" spans="1:5" hidden="1" x14ac:dyDescent="0.2">
      <c r="B36" s="283"/>
      <c r="C36" s="315"/>
      <c r="D36" s="315"/>
      <c r="E36" s="315"/>
    </row>
    <row r="37" spans="1:5" hidden="1" x14ac:dyDescent="0.2">
      <c r="B37" s="318"/>
    </row>
    <row r="41" spans="1:5" x14ac:dyDescent="0.2">
      <c r="B41" s="311"/>
    </row>
    <row r="42" spans="1:5" x14ac:dyDescent="0.2">
      <c r="B42" s="311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279" customWidth="1"/>
    <col min="2" max="2" width="21.85546875" style="279" customWidth="1"/>
    <col min="3" max="8" width="20.28515625" style="279" customWidth="1"/>
    <col min="9" max="9" width="2" style="279" hidden="1" customWidth="1"/>
    <col min="10" max="10" width="21.28515625" style="280" hidden="1" customWidth="1"/>
    <col min="11" max="11" width="8.140625" style="279" hidden="1" customWidth="1"/>
    <col min="12" max="12" width="11.140625" style="279" hidden="1" customWidth="1"/>
    <col min="13" max="13" width="11.7109375" style="279" hidden="1" customWidth="1"/>
    <col min="14" max="17" width="7.28515625" style="279" hidden="1" customWidth="1"/>
    <col min="18" max="19" width="9.140625" style="279" hidden="1" customWidth="1"/>
    <col min="20" max="21" width="9.140625" style="279" customWidth="1"/>
    <col min="22" max="16384" width="9.140625" style="279"/>
  </cols>
  <sheetData>
    <row r="1" spans="1:19" ht="20.25" customHeight="1" x14ac:dyDescent="0.2">
      <c r="A1" s="396" t="s">
        <v>15</v>
      </c>
      <c r="B1" s="396"/>
      <c r="C1" s="396"/>
      <c r="D1" s="396"/>
      <c r="E1" s="396"/>
      <c r="F1" s="396"/>
      <c r="G1" s="396"/>
      <c r="H1" s="396"/>
    </row>
    <row r="2" spans="1:19" ht="42" customHeight="1" x14ac:dyDescent="0.2">
      <c r="A2" s="397" t="s">
        <v>50</v>
      </c>
      <c r="B2" s="397"/>
      <c r="C2" s="397"/>
      <c r="D2" s="397"/>
      <c r="E2" s="397"/>
      <c r="F2" s="397"/>
      <c r="G2" s="397"/>
      <c r="H2" s="397"/>
    </row>
    <row r="3" spans="1:19" ht="24.75" customHeight="1" x14ac:dyDescent="0.2">
      <c r="A3" s="398">
        <v>45413</v>
      </c>
      <c r="B3" s="398"/>
      <c r="C3" s="398"/>
      <c r="D3" s="398"/>
      <c r="E3" s="398"/>
      <c r="F3" s="398"/>
      <c r="G3" s="398"/>
      <c r="H3" s="398"/>
    </row>
    <row r="4" spans="1:19" ht="24.95" customHeight="1" x14ac:dyDescent="0.2">
      <c r="A4" s="399" t="s">
        <v>12</v>
      </c>
      <c r="B4" s="399"/>
      <c r="C4" s="399"/>
      <c r="D4" s="399"/>
      <c r="E4" s="399"/>
      <c r="F4" s="399"/>
      <c r="G4" s="399"/>
      <c r="H4" s="399"/>
    </row>
    <row r="5" spans="1:19" ht="66.75" customHeight="1" thickBot="1" x14ac:dyDescent="0.25">
      <c r="A5" s="353" t="s">
        <v>0</v>
      </c>
      <c r="B5" s="341" t="s">
        <v>1</v>
      </c>
      <c r="C5" s="342" t="s">
        <v>68</v>
      </c>
      <c r="D5" s="342" t="s">
        <v>53</v>
      </c>
      <c r="E5" s="342" t="s">
        <v>69</v>
      </c>
      <c r="F5" s="342" t="s">
        <v>70</v>
      </c>
      <c r="G5" s="342" t="s">
        <v>63</v>
      </c>
      <c r="H5" s="342" t="s">
        <v>54</v>
      </c>
      <c r="L5" s="355" t="s">
        <v>66</v>
      </c>
      <c r="M5" s="282"/>
      <c r="N5" s="282"/>
      <c r="O5" s="282"/>
      <c r="P5" s="282"/>
      <c r="Q5" s="282"/>
      <c r="R5" s="282"/>
      <c r="S5" s="282"/>
    </row>
    <row r="6" spans="1:19" s="330" customFormat="1" ht="29.25" customHeight="1" thickBot="1" x14ac:dyDescent="0.25">
      <c r="A6" s="349" t="s">
        <v>71</v>
      </c>
      <c r="B6" s="344">
        <f>B7+B8</f>
        <v>87031014.726912007</v>
      </c>
      <c r="C6" s="344">
        <f t="shared" ref="C6:H6" si="0">C7+C8</f>
        <v>2110638.7471779999</v>
      </c>
      <c r="D6" s="344">
        <f t="shared" si="0"/>
        <v>11231830.706631001</v>
      </c>
      <c r="E6" s="344">
        <f t="shared" si="0"/>
        <v>4233390.2314519994</v>
      </c>
      <c r="F6" s="344">
        <f t="shared" si="0"/>
        <v>23138033.956858002</v>
      </c>
      <c r="G6" s="344">
        <f t="shared" si="0"/>
        <v>184962.72249799999</v>
      </c>
      <c r="H6" s="352">
        <f t="shared" si="0"/>
        <v>46132158.362295002</v>
      </c>
      <c r="J6" s="331">
        <v>87063262.726912022</v>
      </c>
      <c r="K6" s="332" t="s">
        <v>57</v>
      </c>
      <c r="L6" s="356" t="s">
        <v>31</v>
      </c>
      <c r="M6" s="292"/>
      <c r="N6" s="292"/>
      <c r="O6" s="292"/>
      <c r="P6" s="292"/>
      <c r="Q6" s="292"/>
      <c r="R6" s="292"/>
      <c r="S6" s="357" t="s">
        <v>32</v>
      </c>
    </row>
    <row r="7" spans="1:19" ht="18" customHeight="1" x14ac:dyDescent="0.2">
      <c r="A7" s="338" t="s">
        <v>46</v>
      </c>
      <c r="B7" s="319">
        <f t="shared" ref="B7:B14" si="1">SUM(C7:H7)</f>
        <v>84920375.979734004</v>
      </c>
      <c r="C7" s="319">
        <f t="shared" ref="C7:H8" si="2">C10+C13</f>
        <v>0</v>
      </c>
      <c r="D7" s="319">
        <f t="shared" si="2"/>
        <v>11231830.706631001</v>
      </c>
      <c r="E7" s="319">
        <f t="shared" si="2"/>
        <v>4233390.2314519994</v>
      </c>
      <c r="F7" s="319">
        <f t="shared" si="2"/>
        <v>23138033.956858002</v>
      </c>
      <c r="G7" s="319">
        <f t="shared" si="2"/>
        <v>184962.72249799999</v>
      </c>
      <c r="H7" s="319">
        <f t="shared" si="2"/>
        <v>46132158.362295002</v>
      </c>
      <c r="J7" s="286">
        <f>B6-J6+S12</f>
        <v>-1.4901161193847656E-8</v>
      </c>
      <c r="L7" s="284"/>
      <c r="M7" s="358" t="s">
        <v>33</v>
      </c>
      <c r="N7" s="358" t="s">
        <v>34</v>
      </c>
      <c r="O7" s="358" t="s">
        <v>35</v>
      </c>
      <c r="P7" s="358" t="s">
        <v>36</v>
      </c>
      <c r="Q7" s="358" t="s">
        <v>37</v>
      </c>
      <c r="R7" s="358" t="s">
        <v>38</v>
      </c>
      <c r="S7" s="358" t="s">
        <v>39</v>
      </c>
    </row>
    <row r="8" spans="1:19" ht="18" customHeight="1" x14ac:dyDescent="0.2">
      <c r="A8" s="335" t="s">
        <v>67</v>
      </c>
      <c r="B8" s="321">
        <f t="shared" si="1"/>
        <v>2110638.7471779999</v>
      </c>
      <c r="C8" s="321">
        <f t="shared" si="2"/>
        <v>2110638.7471779999</v>
      </c>
      <c r="D8" s="321">
        <f t="shared" si="2"/>
        <v>0</v>
      </c>
      <c r="E8" s="321">
        <f t="shared" si="2"/>
        <v>0</v>
      </c>
      <c r="F8" s="321">
        <f t="shared" si="2"/>
        <v>0</v>
      </c>
      <c r="G8" s="321">
        <f t="shared" si="2"/>
        <v>0</v>
      </c>
      <c r="H8" s="321">
        <f t="shared" si="2"/>
        <v>0</v>
      </c>
      <c r="J8" s="290"/>
      <c r="L8" s="359" t="s">
        <v>40</v>
      </c>
      <c r="M8" s="288"/>
      <c r="N8" s="288">
        <v>0</v>
      </c>
      <c r="O8" s="288"/>
      <c r="P8" s="288"/>
      <c r="Q8" s="288"/>
      <c r="R8" s="288"/>
      <c r="S8" s="360">
        <v>0</v>
      </c>
    </row>
    <row r="9" spans="1:19" ht="18" customHeight="1" x14ac:dyDescent="0.2">
      <c r="A9" s="336" t="s">
        <v>9</v>
      </c>
      <c r="B9" s="322">
        <f t="shared" si="1"/>
        <v>40267271.380600005</v>
      </c>
      <c r="C9" s="322">
        <f t="shared" ref="C9:H9" si="3">SUM(C10:C11)</f>
        <v>201584.25</v>
      </c>
      <c r="D9" s="322">
        <f t="shared" si="3"/>
        <v>709368.99999999988</v>
      </c>
      <c r="E9" s="322">
        <f t="shared" si="3"/>
        <v>129914</v>
      </c>
      <c r="F9" s="322">
        <f t="shared" si="3"/>
        <v>3376085.3650000002</v>
      </c>
      <c r="G9" s="322">
        <f t="shared" si="3"/>
        <v>3800</v>
      </c>
      <c r="H9" s="322">
        <f t="shared" si="3"/>
        <v>35846518.765600003</v>
      </c>
      <c r="L9" s="359" t="s">
        <v>41</v>
      </c>
      <c r="M9" s="288">
        <v>23672</v>
      </c>
      <c r="N9" s="288">
        <v>0</v>
      </c>
      <c r="O9" s="288">
        <v>2970</v>
      </c>
      <c r="P9" s="288">
        <v>5606</v>
      </c>
      <c r="Q9" s="288"/>
      <c r="R9" s="288"/>
      <c r="S9" s="360">
        <v>32248</v>
      </c>
    </row>
    <row r="10" spans="1:19" ht="18" customHeight="1" x14ac:dyDescent="0.2">
      <c r="A10" s="335" t="s">
        <v>46</v>
      </c>
      <c r="B10" s="321">
        <f t="shared" si="1"/>
        <v>40065687.130600005</v>
      </c>
      <c r="C10" s="321">
        <v>0</v>
      </c>
      <c r="D10" s="321">
        <v>709368.99999999988</v>
      </c>
      <c r="E10" s="321">
        <v>129914</v>
      </c>
      <c r="F10" s="321">
        <v>3376085.3650000002</v>
      </c>
      <c r="G10" s="321">
        <v>3800</v>
      </c>
      <c r="H10" s="321">
        <v>35846518.765600003</v>
      </c>
      <c r="L10" s="359" t="s">
        <v>1</v>
      </c>
      <c r="M10" s="361">
        <v>23672</v>
      </c>
      <c r="N10" s="361">
        <v>0</v>
      </c>
      <c r="O10" s="361">
        <v>2970</v>
      </c>
      <c r="P10" s="361">
        <v>5606</v>
      </c>
      <c r="Q10" s="361">
        <v>0</v>
      </c>
      <c r="R10" s="361">
        <v>0</v>
      </c>
      <c r="S10" s="361">
        <v>32248</v>
      </c>
    </row>
    <row r="11" spans="1:19" ht="18" customHeight="1" x14ac:dyDescent="0.2">
      <c r="A11" s="335" t="s">
        <v>67</v>
      </c>
      <c r="B11" s="321">
        <f t="shared" si="1"/>
        <v>201584.25</v>
      </c>
      <c r="C11" s="321">
        <v>201584.25</v>
      </c>
      <c r="D11" s="321">
        <v>0</v>
      </c>
      <c r="E11" s="321">
        <v>0</v>
      </c>
      <c r="F11" s="321">
        <v>0</v>
      </c>
      <c r="G11" s="321">
        <v>0</v>
      </c>
      <c r="H11" s="321">
        <v>0</v>
      </c>
      <c r="L11" s="359"/>
      <c r="M11" s="296"/>
      <c r="N11" s="296"/>
      <c r="O11" s="296"/>
      <c r="P11" s="296"/>
      <c r="Q11" s="296"/>
      <c r="R11" s="296"/>
      <c r="S11" s="362">
        <v>0</v>
      </c>
    </row>
    <row r="12" spans="1:19" ht="18" customHeight="1" x14ac:dyDescent="0.2">
      <c r="A12" s="336" t="s">
        <v>10</v>
      </c>
      <c r="B12" s="322">
        <f t="shared" si="1"/>
        <v>46763743.346311994</v>
      </c>
      <c r="C12" s="322">
        <f t="shared" ref="C12:G12" si="4">SUM(C13:C14)</f>
        <v>1909054.4971779999</v>
      </c>
      <c r="D12" s="322">
        <f t="shared" si="4"/>
        <v>10522461.706631001</v>
      </c>
      <c r="E12" s="322">
        <f t="shared" si="4"/>
        <v>4103476.2314519994</v>
      </c>
      <c r="F12" s="322">
        <f t="shared" si="4"/>
        <v>19761948.591858</v>
      </c>
      <c r="G12" s="322">
        <f t="shared" si="4"/>
        <v>181162.72249799999</v>
      </c>
      <c r="H12" s="322">
        <f>SUM(H13:H14)</f>
        <v>10285639.596695</v>
      </c>
      <c r="L12" s="363" t="s">
        <v>39</v>
      </c>
      <c r="M12" s="364">
        <v>23672</v>
      </c>
      <c r="N12" s="364">
        <v>0</v>
      </c>
      <c r="O12" s="364">
        <v>2970</v>
      </c>
      <c r="P12" s="364">
        <v>5606</v>
      </c>
      <c r="Q12" s="364">
        <v>0</v>
      </c>
      <c r="R12" s="364">
        <v>0</v>
      </c>
      <c r="S12" s="365">
        <v>32248</v>
      </c>
    </row>
    <row r="13" spans="1:19" ht="18" customHeight="1" x14ac:dyDescent="0.2">
      <c r="A13" s="335" t="s">
        <v>46</v>
      </c>
      <c r="B13" s="321">
        <f t="shared" si="1"/>
        <v>44854688.849133998</v>
      </c>
      <c r="C13" s="321">
        <v>0</v>
      </c>
      <c r="D13" s="321">
        <v>10522461.706631001</v>
      </c>
      <c r="E13" s="321">
        <v>4103476.2314519994</v>
      </c>
      <c r="F13" s="321">
        <v>19761948.591858</v>
      </c>
      <c r="G13" s="321">
        <v>181162.72249799999</v>
      </c>
      <c r="H13" s="321">
        <f>10317887.596695-32248</f>
        <v>10285639.596695</v>
      </c>
      <c r="I13" s="295"/>
    </row>
    <row r="14" spans="1:19" ht="18" customHeight="1" x14ac:dyDescent="0.2">
      <c r="A14" s="335" t="s">
        <v>67</v>
      </c>
      <c r="B14" s="321">
        <f t="shared" si="1"/>
        <v>1909054.4971779999</v>
      </c>
      <c r="C14" s="321">
        <v>1909054.4971779999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J14" s="298"/>
    </row>
    <row r="15" spans="1:19" ht="18" customHeight="1" x14ac:dyDescent="0.2">
      <c r="A15" s="337" t="s">
        <v>14</v>
      </c>
      <c r="B15" s="323">
        <v>3573.067</v>
      </c>
      <c r="C15" s="320"/>
      <c r="D15" s="321"/>
      <c r="E15" s="321"/>
      <c r="F15" s="321"/>
      <c r="G15" s="321"/>
      <c r="H15" s="321"/>
      <c r="J15" s="290"/>
      <c r="K15" s="301"/>
    </row>
    <row r="16" spans="1:19" s="302" customFormat="1" ht="24.95" customHeight="1" thickBot="1" x14ac:dyDescent="0.25">
      <c r="A16" s="395" t="s">
        <v>13</v>
      </c>
      <c r="B16" s="395"/>
      <c r="C16" s="395"/>
      <c r="D16" s="395"/>
      <c r="E16" s="395"/>
      <c r="F16" s="395"/>
      <c r="G16" s="395"/>
      <c r="H16" s="395"/>
      <c r="J16" s="303"/>
      <c r="K16" s="301"/>
    </row>
    <row r="17" spans="1:14" ht="29.25" customHeight="1" thickBot="1" x14ac:dyDescent="0.25">
      <c r="A17" s="349" t="s">
        <v>72</v>
      </c>
      <c r="B17" s="350">
        <f>SUM(C17:H17)</f>
        <v>8.5155196679999996</v>
      </c>
      <c r="C17" s="350">
        <f t="shared" ref="C17:H17" si="5">SUM(C18:C19)</f>
        <v>2.3211648239999998</v>
      </c>
      <c r="D17" s="350">
        <f t="shared" si="5"/>
        <v>0.20381164600000001</v>
      </c>
      <c r="E17" s="350">
        <f t="shared" si="5"/>
        <v>2.5239809999999998E-3</v>
      </c>
      <c r="F17" s="350">
        <f t="shared" si="5"/>
        <v>5.3710319020000004</v>
      </c>
      <c r="G17" s="350">
        <f t="shared" si="5"/>
        <v>0.22670799599999999</v>
      </c>
      <c r="H17" s="351">
        <f t="shared" si="5"/>
        <v>0.39027931900000001</v>
      </c>
      <c r="J17" s="304">
        <v>2.3211648239999998</v>
      </c>
      <c r="K17" s="305" t="s">
        <v>76</v>
      </c>
      <c r="L17" s="306">
        <v>8.5106696680000002</v>
      </c>
      <c r="M17" s="306">
        <f>B17-L17</f>
        <v>4.8499999999993548E-3</v>
      </c>
    </row>
    <row r="18" spans="1:14" ht="18" customHeight="1" x14ac:dyDescent="0.2">
      <c r="A18" s="338" t="s">
        <v>46</v>
      </c>
      <c r="B18" s="324">
        <f>SUM(C18:H18)</f>
        <v>6.1943548440000002</v>
      </c>
      <c r="C18" s="324">
        <v>0</v>
      </c>
      <c r="D18" s="324">
        <v>0.20381164600000001</v>
      </c>
      <c r="E18" s="324">
        <v>2.5239809999999998E-3</v>
      </c>
      <c r="F18" s="324">
        <v>5.3710319020000004</v>
      </c>
      <c r="G18" s="324">
        <v>0.22670799599999999</v>
      </c>
      <c r="H18" s="324">
        <v>0.39027931900000001</v>
      </c>
      <c r="J18" s="304">
        <v>6.189504844</v>
      </c>
      <c r="K18" s="301" t="s">
        <v>58</v>
      </c>
      <c r="L18" s="306"/>
    </row>
    <row r="19" spans="1:14" ht="18" customHeight="1" x14ac:dyDescent="0.2">
      <c r="A19" s="335" t="s">
        <v>67</v>
      </c>
      <c r="B19" s="339">
        <f>SUM(C19:H19)</f>
        <v>2.3211648239999998</v>
      </c>
      <c r="C19" s="339">
        <v>2.3211648239999998</v>
      </c>
      <c r="D19" s="339">
        <v>0</v>
      </c>
      <c r="E19" s="339">
        <v>0</v>
      </c>
      <c r="F19" s="339">
        <v>0</v>
      </c>
      <c r="G19" s="339">
        <v>0</v>
      </c>
      <c r="H19" s="339">
        <v>0</v>
      </c>
      <c r="J19" s="307">
        <f>B17-J17-J18</f>
        <v>4.8499999999993548E-3</v>
      </c>
      <c r="K19" s="301" t="s">
        <v>77</v>
      </c>
      <c r="L19" s="308"/>
      <c r="N19" s="309"/>
    </row>
    <row r="20" spans="1:14" ht="24.95" customHeight="1" thickBot="1" x14ac:dyDescent="0.25">
      <c r="A20" s="395" t="s">
        <v>73</v>
      </c>
      <c r="B20" s="395"/>
      <c r="C20" s="395"/>
      <c r="D20" s="395"/>
      <c r="E20" s="395"/>
      <c r="F20" s="395"/>
      <c r="G20" s="395"/>
      <c r="H20" s="395"/>
      <c r="J20" s="310"/>
      <c r="K20" s="301"/>
    </row>
    <row r="21" spans="1:14" ht="49.5" customHeight="1" thickBot="1" x14ac:dyDescent="0.25">
      <c r="A21" s="343" t="s">
        <v>74</v>
      </c>
      <c r="B21" s="344">
        <f>SUM(B22:B26)</f>
        <v>20683322.635282002</v>
      </c>
      <c r="C21" s="345"/>
      <c r="D21" s="346"/>
      <c r="E21" s="347"/>
      <c r="F21" s="347"/>
      <c r="G21" s="347"/>
      <c r="H21" s="348"/>
      <c r="K21" s="301"/>
    </row>
    <row r="22" spans="1:14" ht="18" customHeight="1" x14ac:dyDescent="0.2">
      <c r="A22" s="338" t="s">
        <v>46</v>
      </c>
      <c r="B22" s="319">
        <v>19296775.265248999</v>
      </c>
      <c r="C22" s="325"/>
      <c r="D22" s="326"/>
      <c r="E22" s="325"/>
      <c r="F22" s="325"/>
      <c r="G22" s="325"/>
      <c r="H22" s="325"/>
      <c r="J22" s="283">
        <f>D29</f>
        <v>19269658.915249001</v>
      </c>
      <c r="K22" s="301" t="s">
        <v>61</v>
      </c>
    </row>
    <row r="23" spans="1:14" ht="30.75" customHeight="1" x14ac:dyDescent="0.2">
      <c r="A23" s="340" t="s">
        <v>49</v>
      </c>
      <c r="B23" s="321">
        <v>372637.50393300003</v>
      </c>
      <c r="C23" s="327"/>
      <c r="D23" s="328"/>
      <c r="E23" s="329"/>
      <c r="F23" s="329"/>
      <c r="G23" s="329"/>
      <c r="H23" s="329"/>
      <c r="J23" s="283">
        <f>D34</f>
        <v>1386547.3700329999</v>
      </c>
      <c r="K23" s="301" t="s">
        <v>60</v>
      </c>
    </row>
    <row r="24" spans="1:14" ht="18" customHeight="1" x14ac:dyDescent="0.2">
      <c r="A24" s="354" t="s">
        <v>24</v>
      </c>
      <c r="B24" s="321">
        <v>853694.88760000002</v>
      </c>
      <c r="C24" s="327"/>
      <c r="D24" s="328"/>
      <c r="E24" s="329"/>
      <c r="F24" s="329"/>
      <c r="G24" s="329"/>
      <c r="H24" s="329"/>
      <c r="J24" s="283">
        <v>-27116.35</v>
      </c>
      <c r="K24" s="301" t="s">
        <v>62</v>
      </c>
    </row>
    <row r="25" spans="1:14" ht="18" customHeight="1" x14ac:dyDescent="0.2">
      <c r="A25" s="335" t="s">
        <v>20</v>
      </c>
      <c r="B25" s="321">
        <v>27743.516500000002</v>
      </c>
      <c r="C25" s="327"/>
      <c r="D25" s="328"/>
      <c r="E25" s="329"/>
      <c r="F25" s="329"/>
      <c r="G25" s="329"/>
      <c r="H25" s="329"/>
      <c r="J25" s="286">
        <f>B21-J22-J23+J24</f>
        <v>1.2587406672537327E-9</v>
      </c>
    </row>
    <row r="26" spans="1:14" ht="18" customHeight="1" x14ac:dyDescent="0.2">
      <c r="A26" s="335" t="s">
        <v>22</v>
      </c>
      <c r="B26" s="321">
        <v>132471.462</v>
      </c>
      <c r="C26" s="327"/>
      <c r="D26" s="329"/>
      <c r="E26" s="329"/>
      <c r="F26" s="329"/>
      <c r="G26" s="329"/>
      <c r="H26" s="329"/>
    </row>
    <row r="27" spans="1:14" hidden="1" x14ac:dyDescent="0.2">
      <c r="B27" s="311"/>
      <c r="C27" s="312"/>
    </row>
    <row r="28" spans="1:14" hidden="1" x14ac:dyDescent="0.2">
      <c r="A28" s="313"/>
      <c r="B28" s="283" t="s">
        <v>64</v>
      </c>
      <c r="C28" s="314"/>
      <c r="D28" s="315" t="s">
        <v>65</v>
      </c>
      <c r="E28" s="315"/>
    </row>
    <row r="29" spans="1:14" hidden="1" x14ac:dyDescent="0.2">
      <c r="A29" s="366" t="s">
        <v>46</v>
      </c>
      <c r="B29" s="283">
        <v>19269658.91524899</v>
      </c>
      <c r="C29" s="283">
        <f>B22-B29+J24</f>
        <v>8.9421519078314304E-9</v>
      </c>
      <c r="D29" s="316">
        <v>19269658.915249001</v>
      </c>
      <c r="E29" s="283">
        <f>B29-D29</f>
        <v>0</v>
      </c>
      <c r="F29" s="311"/>
    </row>
    <row r="30" spans="1:14" hidden="1" x14ac:dyDescent="0.2">
      <c r="A30" s="366" t="s">
        <v>49</v>
      </c>
      <c r="B30" s="283">
        <v>372637.50393300003</v>
      </c>
      <c r="C30" s="283">
        <f>B23-B30</f>
        <v>0</v>
      </c>
      <c r="D30" s="316">
        <v>372637.50393300003</v>
      </c>
      <c r="E30" s="283">
        <f>B30-D30</f>
        <v>0</v>
      </c>
      <c r="F30" s="311"/>
    </row>
    <row r="31" spans="1:14" hidden="1" x14ac:dyDescent="0.2">
      <c r="A31" s="366" t="s">
        <v>24</v>
      </c>
      <c r="B31" s="283">
        <v>853694.88760000048</v>
      </c>
      <c r="C31" s="283">
        <f>B24-B31</f>
        <v>0</v>
      </c>
      <c r="D31" s="316">
        <v>853694.88760000002</v>
      </c>
      <c r="E31" s="283">
        <f>B31-D31</f>
        <v>0</v>
      </c>
    </row>
    <row r="32" spans="1:14" hidden="1" x14ac:dyDescent="0.2">
      <c r="A32" s="366" t="s">
        <v>20</v>
      </c>
      <c r="B32" s="283">
        <v>27743.516499999991</v>
      </c>
      <c r="C32" s="283">
        <f>B25-B32</f>
        <v>0</v>
      </c>
      <c r="D32" s="316">
        <v>27743.516500000002</v>
      </c>
      <c r="E32" s="283">
        <f t="shared" ref="E32" si="6">B32-D32</f>
        <v>0</v>
      </c>
    </row>
    <row r="33" spans="1:5" hidden="1" x14ac:dyDescent="0.2">
      <c r="A33" s="366" t="s">
        <v>22</v>
      </c>
      <c r="B33" s="283">
        <v>132471.462</v>
      </c>
      <c r="C33" s="283">
        <f>B26-B33</f>
        <v>0</v>
      </c>
      <c r="D33" s="316">
        <v>132471.462</v>
      </c>
      <c r="E33" s="283">
        <f>B33-D33</f>
        <v>0</v>
      </c>
    </row>
    <row r="34" spans="1:5" hidden="1" x14ac:dyDescent="0.2">
      <c r="B34" s="283">
        <f>SUM(B30:B33)</f>
        <v>1386547.3700330004</v>
      </c>
      <c r="C34" s="283">
        <f>SUM(C29:C33)</f>
        <v>8.9421519078314304E-9</v>
      </c>
      <c r="D34" s="316">
        <f>SUM(D30:D33)</f>
        <v>1386547.3700329999</v>
      </c>
      <c r="E34" s="283">
        <f>SUM(E29:E33)</f>
        <v>0</v>
      </c>
    </row>
    <row r="35" spans="1:5" hidden="1" x14ac:dyDescent="0.2">
      <c r="B35" s="317">
        <f>B34+B29+J24-B22</f>
        <v>1332314.6700329892</v>
      </c>
      <c r="C35" s="283"/>
      <c r="D35" s="316">
        <f>D34+D29</f>
        <v>20656206.285282001</v>
      </c>
      <c r="E35" s="283"/>
    </row>
    <row r="36" spans="1:5" hidden="1" x14ac:dyDescent="0.2">
      <c r="B36" s="283"/>
      <c r="C36" s="315"/>
      <c r="D36" s="315"/>
      <c r="E36" s="315"/>
    </row>
    <row r="37" spans="1:5" hidden="1" x14ac:dyDescent="0.2">
      <c r="B37" s="318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311"/>
    </row>
    <row r="42" spans="1:5" hidden="1" x14ac:dyDescent="0.2">
      <c r="B42" s="311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81">
        <v>43983</v>
      </c>
      <c r="B3" s="381"/>
      <c r="C3" s="381"/>
      <c r="D3" s="381"/>
      <c r="E3" s="381"/>
      <c r="F3" s="381"/>
      <c r="G3" s="381"/>
      <c r="H3" s="381"/>
    </row>
    <row r="4" spans="1: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3236743</v>
      </c>
      <c r="C6" s="24">
        <v>18881</v>
      </c>
      <c r="D6" s="24">
        <v>45965</v>
      </c>
      <c r="E6" s="24">
        <v>261564</v>
      </c>
      <c r="F6" s="24">
        <v>1415539</v>
      </c>
      <c r="G6" s="24">
        <v>0</v>
      </c>
      <c r="H6" s="34">
        <v>1494794</v>
      </c>
    </row>
    <row r="7" spans="1:8" x14ac:dyDescent="0.2">
      <c r="A7" s="38" t="s">
        <v>17</v>
      </c>
      <c r="B7" s="42">
        <v>3160887</v>
      </c>
      <c r="C7" s="4"/>
      <c r="D7" s="4">
        <v>45965</v>
      </c>
      <c r="E7" s="4">
        <v>261564</v>
      </c>
      <c r="F7" s="4">
        <v>1413528</v>
      </c>
      <c r="G7" s="4"/>
      <c r="H7" s="8">
        <v>1439830</v>
      </c>
    </row>
    <row r="8" spans="1:8" x14ac:dyDescent="0.2">
      <c r="A8" s="38" t="s">
        <v>7</v>
      </c>
      <c r="B8" s="42">
        <v>55046</v>
      </c>
      <c r="C8" s="4"/>
      <c r="D8" s="4"/>
      <c r="E8" s="4"/>
      <c r="F8" s="4">
        <v>2011</v>
      </c>
      <c r="G8" s="4"/>
      <c r="H8" s="8">
        <v>53035</v>
      </c>
    </row>
    <row r="9" spans="1:8" x14ac:dyDescent="0.2">
      <c r="A9" s="38" t="s">
        <v>8</v>
      </c>
      <c r="B9" s="42">
        <v>1929</v>
      </c>
      <c r="C9" s="4"/>
      <c r="D9" s="4"/>
      <c r="E9" s="4"/>
      <c r="F9" s="4"/>
      <c r="G9" s="4"/>
      <c r="H9" s="8">
        <v>1929</v>
      </c>
    </row>
    <row r="10" spans="1:8" x14ac:dyDescent="0.2">
      <c r="A10" s="38" t="s">
        <v>18</v>
      </c>
      <c r="B10" s="42">
        <v>18881</v>
      </c>
      <c r="C10" s="4">
        <v>18881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34611354</v>
      </c>
      <c r="C11" s="5">
        <v>88949</v>
      </c>
      <c r="D11" s="5">
        <v>506382</v>
      </c>
      <c r="E11" s="5">
        <v>137611</v>
      </c>
      <c r="F11" s="5">
        <v>2243203</v>
      </c>
      <c r="G11" s="5">
        <v>9480</v>
      </c>
      <c r="H11" s="35">
        <v>31625729</v>
      </c>
    </row>
    <row r="12" spans="1:8" x14ac:dyDescent="0.2">
      <c r="A12" s="38" t="s">
        <v>17</v>
      </c>
      <c r="B12" s="42">
        <v>33026911</v>
      </c>
      <c r="C12" s="4"/>
      <c r="D12" s="4">
        <v>506382</v>
      </c>
      <c r="E12" s="4">
        <v>126798</v>
      </c>
      <c r="F12" s="4">
        <v>2195556</v>
      </c>
      <c r="G12" s="4">
        <v>9480</v>
      </c>
      <c r="H12" s="6">
        <v>30188695</v>
      </c>
    </row>
    <row r="13" spans="1:8" x14ac:dyDescent="0.2">
      <c r="A13" s="38" t="s">
        <v>7</v>
      </c>
      <c r="B13" s="42">
        <v>1404253</v>
      </c>
      <c r="C13" s="7"/>
      <c r="D13" s="7"/>
      <c r="E13" s="7">
        <v>10813</v>
      </c>
      <c r="F13" s="7">
        <v>47647</v>
      </c>
      <c r="G13" s="7"/>
      <c r="H13" s="6">
        <v>1345793</v>
      </c>
    </row>
    <row r="14" spans="1:8" x14ac:dyDescent="0.2">
      <c r="A14" s="38" t="s">
        <v>8</v>
      </c>
      <c r="B14" s="42">
        <v>91241</v>
      </c>
      <c r="C14" s="4"/>
      <c r="D14" s="4"/>
      <c r="E14" s="4"/>
      <c r="F14" s="4"/>
      <c r="G14" s="4"/>
      <c r="H14" s="6">
        <v>91241</v>
      </c>
    </row>
    <row r="15" spans="1:8" x14ac:dyDescent="0.2">
      <c r="A15" s="38" t="s">
        <v>18</v>
      </c>
      <c r="B15" s="42">
        <v>88949</v>
      </c>
      <c r="C15" s="4">
        <v>88949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59998257</v>
      </c>
      <c r="C16" s="5">
        <v>1646539</v>
      </c>
      <c r="D16" s="5">
        <v>7960801</v>
      </c>
      <c r="E16" s="5">
        <v>5654322</v>
      </c>
      <c r="F16" s="5">
        <v>37269428</v>
      </c>
      <c r="G16" s="5">
        <v>61508</v>
      </c>
      <c r="H16" s="35">
        <v>7405659</v>
      </c>
    </row>
    <row r="17" spans="1:8" x14ac:dyDescent="0.2">
      <c r="A17" s="38" t="s">
        <v>17</v>
      </c>
      <c r="B17" s="2">
        <v>57749424</v>
      </c>
      <c r="C17" s="4"/>
      <c r="D17" s="4">
        <v>7960801</v>
      </c>
      <c r="E17" s="4">
        <v>5642986</v>
      </c>
      <c r="F17" s="4">
        <v>37046610</v>
      </c>
      <c r="G17" s="4">
        <v>61508</v>
      </c>
      <c r="H17" s="6">
        <v>7037519</v>
      </c>
    </row>
    <row r="18" spans="1:8" x14ac:dyDescent="0.2">
      <c r="A18" s="38" t="s">
        <v>7</v>
      </c>
      <c r="B18" s="25">
        <v>555922</v>
      </c>
      <c r="C18" s="7"/>
      <c r="D18" s="7"/>
      <c r="E18" s="7">
        <v>11336</v>
      </c>
      <c r="F18" s="7">
        <v>201953</v>
      </c>
      <c r="G18" s="7"/>
      <c r="H18" s="6">
        <v>342633</v>
      </c>
    </row>
    <row r="19" spans="1:8" x14ac:dyDescent="0.2">
      <c r="A19" s="38" t="s">
        <v>8</v>
      </c>
      <c r="B19" s="2">
        <v>46372</v>
      </c>
      <c r="C19" s="4"/>
      <c r="D19" s="4"/>
      <c r="E19" s="4"/>
      <c r="F19" s="4">
        <v>20865</v>
      </c>
      <c r="G19" s="4"/>
      <c r="H19" s="8">
        <v>25507</v>
      </c>
    </row>
    <row r="20" spans="1:8" ht="19.5" customHeight="1" x14ac:dyDescent="0.2">
      <c r="A20" s="38" t="s">
        <v>18</v>
      </c>
      <c r="B20" s="2">
        <v>1646539</v>
      </c>
      <c r="C20" s="4">
        <v>1646539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97846354</v>
      </c>
      <c r="C21" s="9">
        <v>1754369</v>
      </c>
      <c r="D21" s="9">
        <v>8513148</v>
      </c>
      <c r="E21" s="9">
        <v>6053497</v>
      </c>
      <c r="F21" s="9">
        <v>40928170</v>
      </c>
      <c r="G21" s="9">
        <v>70988</v>
      </c>
      <c r="H21" s="36">
        <v>40526182</v>
      </c>
    </row>
    <row r="22" spans="1:8" ht="15.75" customHeight="1" x14ac:dyDescent="0.2">
      <c r="A22" s="39" t="s">
        <v>21</v>
      </c>
      <c r="B22" s="43">
        <v>49669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7063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8" ht="24.75" customHeight="1" x14ac:dyDescent="0.2">
      <c r="A25" s="47" t="s">
        <v>28</v>
      </c>
      <c r="B25" s="50">
        <v>8.7679999999999989</v>
      </c>
      <c r="C25" s="26">
        <v>2.2730000000000001</v>
      </c>
      <c r="D25" s="26">
        <v>0.20300000000000001</v>
      </c>
      <c r="E25" s="26">
        <v>6.0000000000000001E-3</v>
      </c>
      <c r="F25" s="26">
        <v>5.5110000000000001</v>
      </c>
      <c r="G25" s="26">
        <v>0.01</v>
      </c>
      <c r="H25" s="27">
        <v>0.76500000000000001</v>
      </c>
    </row>
    <row r="26" spans="1:8" x14ac:dyDescent="0.2">
      <c r="A26" s="48" t="s">
        <v>18</v>
      </c>
      <c r="B26" s="51">
        <v>2.2730000000000001</v>
      </c>
      <c r="C26" s="28">
        <v>2.2730000000000001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6.4669999999999996</v>
      </c>
      <c r="C27" s="28"/>
      <c r="D27" s="28">
        <v>0.20300000000000001</v>
      </c>
      <c r="E27" s="28">
        <v>6.0000000000000001E-3</v>
      </c>
      <c r="F27" s="28">
        <v>5.5030000000000001</v>
      </c>
      <c r="G27" s="28">
        <v>0.01</v>
      </c>
      <c r="H27" s="29">
        <v>0.745</v>
      </c>
    </row>
    <row r="28" spans="1:8" x14ac:dyDescent="0.2">
      <c r="A28" s="38" t="s">
        <v>7</v>
      </c>
      <c r="B28" s="51">
        <v>2.8000000000000001E-2</v>
      </c>
      <c r="C28" s="30"/>
      <c r="D28" s="30"/>
      <c r="E28" s="30"/>
      <c r="F28" s="30">
        <v>8.0000000000000002E-3</v>
      </c>
      <c r="G28" s="30"/>
      <c r="H28" s="31">
        <v>0.02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13327574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11624083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326270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1241706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82473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53042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81">
        <v>44013</v>
      </c>
      <c r="B3" s="381"/>
      <c r="C3" s="381"/>
      <c r="D3" s="381"/>
      <c r="E3" s="381"/>
      <c r="F3" s="381"/>
      <c r="G3" s="381"/>
      <c r="H3" s="381"/>
    </row>
    <row r="4" spans="1: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3310295</v>
      </c>
      <c r="C6" s="24">
        <v>14658</v>
      </c>
      <c r="D6" s="24">
        <v>50463</v>
      </c>
      <c r="E6" s="24">
        <v>283706</v>
      </c>
      <c r="F6" s="24">
        <v>1492282</v>
      </c>
      <c r="G6" s="24">
        <v>0</v>
      </c>
      <c r="H6" s="34">
        <v>1469186</v>
      </c>
    </row>
    <row r="7" spans="1:8" x14ac:dyDescent="0.2">
      <c r="A7" s="38" t="s">
        <v>17</v>
      </c>
      <c r="B7" s="42">
        <v>3219757</v>
      </c>
      <c r="C7" s="4"/>
      <c r="D7" s="4">
        <v>50463</v>
      </c>
      <c r="E7" s="4">
        <v>283706</v>
      </c>
      <c r="F7" s="4">
        <v>1489570</v>
      </c>
      <c r="G7" s="4"/>
      <c r="H7" s="8">
        <v>1396018</v>
      </c>
    </row>
    <row r="8" spans="1:8" x14ac:dyDescent="0.2">
      <c r="A8" s="38" t="s">
        <v>7</v>
      </c>
      <c r="B8" s="42">
        <v>73327</v>
      </c>
      <c r="C8" s="4"/>
      <c r="D8" s="4"/>
      <c r="E8" s="4"/>
      <c r="F8" s="4">
        <v>2712</v>
      </c>
      <c r="G8" s="4"/>
      <c r="H8" s="8">
        <v>70615</v>
      </c>
    </row>
    <row r="9" spans="1:8" x14ac:dyDescent="0.2">
      <c r="A9" s="38" t="s">
        <v>8</v>
      </c>
      <c r="B9" s="42">
        <v>2553</v>
      </c>
      <c r="C9" s="4"/>
      <c r="D9" s="4"/>
      <c r="E9" s="4"/>
      <c r="F9" s="4"/>
      <c r="G9" s="4"/>
      <c r="H9" s="8">
        <v>2553</v>
      </c>
    </row>
    <row r="10" spans="1:8" x14ac:dyDescent="0.2">
      <c r="A10" s="38" t="s">
        <v>18</v>
      </c>
      <c r="B10" s="42">
        <v>14658</v>
      </c>
      <c r="C10" s="4">
        <v>14658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34577341</v>
      </c>
      <c r="C11" s="5">
        <v>93072</v>
      </c>
      <c r="D11" s="5">
        <v>547030</v>
      </c>
      <c r="E11" s="5">
        <v>126535</v>
      </c>
      <c r="F11" s="5">
        <v>2718042</v>
      </c>
      <c r="G11" s="5">
        <v>9760</v>
      </c>
      <c r="H11" s="35">
        <v>31082902</v>
      </c>
    </row>
    <row r="12" spans="1:8" x14ac:dyDescent="0.2">
      <c r="A12" s="38" t="s">
        <v>17</v>
      </c>
      <c r="B12" s="42">
        <v>33077542</v>
      </c>
      <c r="C12" s="4"/>
      <c r="D12" s="4">
        <v>547030</v>
      </c>
      <c r="E12" s="4">
        <v>118199</v>
      </c>
      <c r="F12" s="4">
        <v>2676839</v>
      </c>
      <c r="G12" s="4">
        <v>9760</v>
      </c>
      <c r="H12" s="6">
        <v>29725714</v>
      </c>
    </row>
    <row r="13" spans="1:8" x14ac:dyDescent="0.2">
      <c r="A13" s="38" t="s">
        <v>7</v>
      </c>
      <c r="B13" s="42">
        <v>1333468</v>
      </c>
      <c r="C13" s="7"/>
      <c r="D13" s="7"/>
      <c r="E13" s="7">
        <v>8336</v>
      </c>
      <c r="F13" s="7">
        <v>41203</v>
      </c>
      <c r="G13" s="7"/>
      <c r="H13" s="6">
        <v>1283929</v>
      </c>
    </row>
    <row r="14" spans="1:8" x14ac:dyDescent="0.2">
      <c r="A14" s="38" t="s">
        <v>8</v>
      </c>
      <c r="B14" s="42">
        <v>73259</v>
      </c>
      <c r="C14" s="4"/>
      <c r="D14" s="4"/>
      <c r="E14" s="4"/>
      <c r="F14" s="4"/>
      <c r="G14" s="4"/>
      <c r="H14" s="6">
        <v>73259</v>
      </c>
    </row>
    <row r="15" spans="1:8" x14ac:dyDescent="0.2">
      <c r="A15" s="38" t="s">
        <v>18</v>
      </c>
      <c r="B15" s="42">
        <v>93072</v>
      </c>
      <c r="C15" s="4">
        <v>93072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63796853</v>
      </c>
      <c r="C16" s="5">
        <v>1884406</v>
      </c>
      <c r="D16" s="5">
        <v>8881462</v>
      </c>
      <c r="E16" s="5">
        <v>4532148</v>
      </c>
      <c r="F16" s="5">
        <v>39760160</v>
      </c>
      <c r="G16" s="5">
        <v>71504</v>
      </c>
      <c r="H16" s="35">
        <v>8667173</v>
      </c>
    </row>
    <row r="17" spans="1:8" x14ac:dyDescent="0.2">
      <c r="A17" s="38" t="s">
        <v>17</v>
      </c>
      <c r="B17" s="2">
        <v>61276540</v>
      </c>
      <c r="C17" s="4"/>
      <c r="D17" s="4">
        <v>8881462</v>
      </c>
      <c r="E17" s="4">
        <v>4522541</v>
      </c>
      <c r="F17" s="4">
        <v>39488747</v>
      </c>
      <c r="G17" s="4">
        <v>71504</v>
      </c>
      <c r="H17" s="6">
        <v>8312286</v>
      </c>
    </row>
    <row r="18" spans="1:8" x14ac:dyDescent="0.2">
      <c r="A18" s="38" t="s">
        <v>7</v>
      </c>
      <c r="B18" s="25">
        <v>586200</v>
      </c>
      <c r="C18" s="7"/>
      <c r="D18" s="7"/>
      <c r="E18" s="7">
        <v>9607</v>
      </c>
      <c r="F18" s="7">
        <v>248994</v>
      </c>
      <c r="G18" s="7"/>
      <c r="H18" s="6">
        <v>327599</v>
      </c>
    </row>
    <row r="19" spans="1:8" x14ac:dyDescent="0.2">
      <c r="A19" s="38" t="s">
        <v>8</v>
      </c>
      <c r="B19" s="2">
        <v>49707</v>
      </c>
      <c r="C19" s="4"/>
      <c r="D19" s="4"/>
      <c r="E19" s="4"/>
      <c r="F19" s="4">
        <v>22419</v>
      </c>
      <c r="G19" s="4"/>
      <c r="H19" s="8">
        <v>27288</v>
      </c>
    </row>
    <row r="20" spans="1:8" ht="19.5" customHeight="1" x14ac:dyDescent="0.2">
      <c r="A20" s="38" t="s">
        <v>18</v>
      </c>
      <c r="B20" s="2">
        <v>1884406</v>
      </c>
      <c r="C20" s="4">
        <v>1884406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101684489</v>
      </c>
      <c r="C21" s="9">
        <v>1992136</v>
      </c>
      <c r="D21" s="9">
        <v>9478955</v>
      </c>
      <c r="E21" s="9">
        <v>4942389</v>
      </c>
      <c r="F21" s="9">
        <v>43970484</v>
      </c>
      <c r="G21" s="9">
        <v>81264</v>
      </c>
      <c r="H21" s="36">
        <v>41219261</v>
      </c>
    </row>
    <row r="22" spans="1:8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6390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8" ht="24.75" customHeight="1" x14ac:dyDescent="0.2">
      <c r="A25" s="47" t="s">
        <v>28</v>
      </c>
      <c r="B25" s="50">
        <v>9.76</v>
      </c>
      <c r="C25" s="26">
        <v>2.4289999999999998</v>
      </c>
      <c r="D25" s="26">
        <v>0.22</v>
      </c>
      <c r="E25" s="26">
        <v>6.0000000000000001E-3</v>
      </c>
      <c r="F25" s="26">
        <v>6.3449999999999998</v>
      </c>
      <c r="G25" s="26">
        <v>1.0999999999999999E-2</v>
      </c>
      <c r="H25" s="27">
        <v>0.749</v>
      </c>
    </row>
    <row r="26" spans="1:8" x14ac:dyDescent="0.2">
      <c r="A26" s="48" t="s">
        <v>18</v>
      </c>
      <c r="B26" s="51">
        <v>2.4289999999999998</v>
      </c>
      <c r="C26" s="28">
        <v>2.4289999999999998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7.3049999999999997</v>
      </c>
      <c r="C27" s="28"/>
      <c r="D27" s="28">
        <v>0.22</v>
      </c>
      <c r="E27" s="28">
        <v>6.0000000000000001E-3</v>
      </c>
      <c r="F27" s="28">
        <v>6.3369999999999997</v>
      </c>
      <c r="G27" s="28">
        <v>1.0999999999999999E-2</v>
      </c>
      <c r="H27" s="29">
        <v>0.73099999999999998</v>
      </c>
    </row>
    <row r="28" spans="1:8" x14ac:dyDescent="0.2">
      <c r="A28" s="38" t="s">
        <v>7</v>
      </c>
      <c r="B28" s="51">
        <v>2.5999999999999999E-2</v>
      </c>
      <c r="C28" s="30"/>
      <c r="D28" s="30"/>
      <c r="E28" s="30"/>
      <c r="F28" s="30">
        <v>8.0000000000000002E-3</v>
      </c>
      <c r="G28" s="30"/>
      <c r="H28" s="31">
        <v>1.7999999999999999E-2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16451923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14580869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316419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1464232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40993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49410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8" ht="24.75" customHeight="1" thickBot="1" x14ac:dyDescent="0.25">
      <c r="A3" s="381">
        <v>44044</v>
      </c>
      <c r="B3" s="381"/>
      <c r="C3" s="381"/>
      <c r="D3" s="381"/>
      <c r="E3" s="381"/>
      <c r="F3" s="381"/>
      <c r="G3" s="381"/>
      <c r="H3" s="381"/>
    </row>
    <row r="4" spans="1: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3463776</v>
      </c>
      <c r="C6" s="24">
        <v>14472</v>
      </c>
      <c r="D6" s="24">
        <v>56067</v>
      </c>
      <c r="E6" s="24">
        <v>269126</v>
      </c>
      <c r="F6" s="24">
        <v>1632317</v>
      </c>
      <c r="G6" s="24">
        <v>0</v>
      </c>
      <c r="H6" s="34">
        <v>1491794</v>
      </c>
    </row>
    <row r="7" spans="1:8" x14ac:dyDescent="0.2">
      <c r="A7" s="38" t="s">
        <v>17</v>
      </c>
      <c r="B7" s="42">
        <v>3361372</v>
      </c>
      <c r="C7" s="4"/>
      <c r="D7" s="4">
        <v>56067</v>
      </c>
      <c r="E7" s="4">
        <v>269126</v>
      </c>
      <c r="F7" s="4">
        <v>1630056</v>
      </c>
      <c r="G7" s="4"/>
      <c r="H7" s="8">
        <v>1406123</v>
      </c>
    </row>
    <row r="8" spans="1:8" x14ac:dyDescent="0.2">
      <c r="A8" s="38" t="s">
        <v>7</v>
      </c>
      <c r="B8" s="42">
        <v>85210</v>
      </c>
      <c r="C8" s="4"/>
      <c r="D8" s="4"/>
      <c r="E8" s="4"/>
      <c r="F8" s="4">
        <v>2261</v>
      </c>
      <c r="G8" s="4"/>
      <c r="H8" s="8">
        <v>82949</v>
      </c>
    </row>
    <row r="9" spans="1:8" x14ac:dyDescent="0.2">
      <c r="A9" s="38" t="s">
        <v>8</v>
      </c>
      <c r="B9" s="42">
        <v>2722</v>
      </c>
      <c r="C9" s="4"/>
      <c r="D9" s="4"/>
      <c r="E9" s="4"/>
      <c r="F9" s="4"/>
      <c r="G9" s="4"/>
      <c r="H9" s="8">
        <v>2722</v>
      </c>
    </row>
    <row r="10" spans="1:8" x14ac:dyDescent="0.2">
      <c r="A10" s="38" t="s">
        <v>18</v>
      </c>
      <c r="B10" s="42">
        <v>14472</v>
      </c>
      <c r="C10" s="4">
        <v>14472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33895051</v>
      </c>
      <c r="C11" s="5">
        <v>87844</v>
      </c>
      <c r="D11" s="5">
        <v>490915</v>
      </c>
      <c r="E11" s="5">
        <v>128183</v>
      </c>
      <c r="F11" s="5">
        <v>2444970</v>
      </c>
      <c r="G11" s="5">
        <v>10040</v>
      </c>
      <c r="H11" s="35">
        <v>30733099</v>
      </c>
    </row>
    <row r="12" spans="1:8" x14ac:dyDescent="0.2">
      <c r="A12" s="38" t="s">
        <v>17</v>
      </c>
      <c r="B12" s="42">
        <v>32396415</v>
      </c>
      <c r="C12" s="4"/>
      <c r="D12" s="4">
        <v>490915</v>
      </c>
      <c r="E12" s="4">
        <v>119302</v>
      </c>
      <c r="F12" s="4">
        <v>2401999</v>
      </c>
      <c r="G12" s="4">
        <v>10040</v>
      </c>
      <c r="H12" s="6">
        <v>29374159</v>
      </c>
    </row>
    <row r="13" spans="1:8" x14ac:dyDescent="0.2">
      <c r="A13" s="38" t="s">
        <v>7</v>
      </c>
      <c r="B13" s="42">
        <v>1313504</v>
      </c>
      <c r="C13" s="7"/>
      <c r="D13" s="7"/>
      <c r="E13" s="7">
        <v>8881</v>
      </c>
      <c r="F13" s="7">
        <v>42971</v>
      </c>
      <c r="G13" s="7"/>
      <c r="H13" s="6">
        <v>1261652</v>
      </c>
    </row>
    <row r="14" spans="1:8" x14ac:dyDescent="0.2">
      <c r="A14" s="38" t="s">
        <v>8</v>
      </c>
      <c r="B14" s="42">
        <v>97288</v>
      </c>
      <c r="C14" s="4"/>
      <c r="D14" s="4"/>
      <c r="E14" s="4"/>
      <c r="F14" s="4"/>
      <c r="G14" s="4"/>
      <c r="H14" s="6">
        <v>97288</v>
      </c>
    </row>
    <row r="15" spans="1:8" x14ac:dyDescent="0.2">
      <c r="A15" s="38" t="s">
        <v>18</v>
      </c>
      <c r="B15" s="42">
        <v>87844</v>
      </c>
      <c r="C15" s="4">
        <v>87844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64670108</v>
      </c>
      <c r="C16" s="5">
        <v>2002252</v>
      </c>
      <c r="D16" s="5">
        <v>8875584</v>
      </c>
      <c r="E16" s="5">
        <v>5892696</v>
      </c>
      <c r="F16" s="5">
        <v>39409653</v>
      </c>
      <c r="G16" s="5">
        <v>65456</v>
      </c>
      <c r="H16" s="35">
        <v>8424467</v>
      </c>
    </row>
    <row r="17" spans="1:8" x14ac:dyDescent="0.2">
      <c r="A17" s="38" t="s">
        <v>17</v>
      </c>
      <c r="B17" s="2">
        <v>61969799</v>
      </c>
      <c r="C17" s="4"/>
      <c r="D17" s="4">
        <v>8875584</v>
      </c>
      <c r="E17" s="4">
        <v>5876621</v>
      </c>
      <c r="F17" s="4">
        <v>39097489</v>
      </c>
      <c r="G17" s="4">
        <v>65456</v>
      </c>
      <c r="H17" s="6">
        <v>8054649</v>
      </c>
    </row>
    <row r="18" spans="1:8" x14ac:dyDescent="0.2">
      <c r="A18" s="38" t="s">
        <v>7</v>
      </c>
      <c r="B18" s="25">
        <v>649225</v>
      </c>
      <c r="C18" s="7"/>
      <c r="D18" s="7"/>
      <c r="E18" s="7">
        <v>16075</v>
      </c>
      <c r="F18" s="7">
        <v>288333</v>
      </c>
      <c r="G18" s="7"/>
      <c r="H18" s="6">
        <v>344817</v>
      </c>
    </row>
    <row r="19" spans="1:8" x14ac:dyDescent="0.2">
      <c r="A19" s="38" t="s">
        <v>8</v>
      </c>
      <c r="B19" s="2">
        <v>48832</v>
      </c>
      <c r="C19" s="4"/>
      <c r="D19" s="4"/>
      <c r="E19" s="4"/>
      <c r="F19" s="4">
        <v>23831</v>
      </c>
      <c r="G19" s="4"/>
      <c r="H19" s="8">
        <v>25001</v>
      </c>
    </row>
    <row r="20" spans="1:8" ht="19.5" customHeight="1" x14ac:dyDescent="0.2">
      <c r="A20" s="38" t="s">
        <v>18</v>
      </c>
      <c r="B20" s="2">
        <v>2002252</v>
      </c>
      <c r="C20" s="4">
        <v>2002252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102028935</v>
      </c>
      <c r="C21" s="9">
        <v>2104568</v>
      </c>
      <c r="D21" s="9">
        <v>9422566</v>
      </c>
      <c r="E21" s="9">
        <v>6290005</v>
      </c>
      <c r="F21" s="9">
        <v>43486940</v>
      </c>
      <c r="G21" s="9">
        <v>75496</v>
      </c>
      <c r="H21" s="36">
        <v>40649360</v>
      </c>
    </row>
    <row r="22" spans="1:8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5630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8" ht="24.75" customHeight="1" x14ac:dyDescent="0.2">
      <c r="A25" s="47" t="s">
        <v>28</v>
      </c>
      <c r="B25" s="50">
        <v>10.168000000000001</v>
      </c>
      <c r="C25" s="26">
        <v>2.4849999999999999</v>
      </c>
      <c r="D25" s="26">
        <v>0.20499999999999999</v>
      </c>
      <c r="E25" s="26">
        <v>6.0000000000000001E-3</v>
      </c>
      <c r="F25" s="26">
        <v>6.8129999999999997</v>
      </c>
      <c r="G25" s="26">
        <v>8.9999999999999993E-3</v>
      </c>
      <c r="H25" s="27">
        <v>0.65</v>
      </c>
    </row>
    <row r="26" spans="1:8" x14ac:dyDescent="0.2">
      <c r="A26" s="48" t="s">
        <v>18</v>
      </c>
      <c r="B26" s="51">
        <v>2.4849999999999999</v>
      </c>
      <c r="C26" s="28">
        <v>2.4849999999999999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7.6580000000000004</v>
      </c>
      <c r="C27" s="28"/>
      <c r="D27" s="28">
        <v>0.20499999999999999</v>
      </c>
      <c r="E27" s="28">
        <v>6.0000000000000001E-3</v>
      </c>
      <c r="F27" s="28">
        <v>6.806</v>
      </c>
      <c r="G27" s="28">
        <v>8.9999999999999993E-3</v>
      </c>
      <c r="H27" s="29">
        <v>0.63200000000000001</v>
      </c>
    </row>
    <row r="28" spans="1:8" x14ac:dyDescent="0.2">
      <c r="A28" s="38" t="s">
        <v>7</v>
      </c>
      <c r="B28" s="51">
        <v>2.4999999999999998E-2</v>
      </c>
      <c r="C28" s="30"/>
      <c r="D28" s="30"/>
      <c r="E28" s="30"/>
      <c r="F28" s="30">
        <v>7.0000000000000001E-3</v>
      </c>
      <c r="G28" s="30"/>
      <c r="H28" s="31">
        <v>1.7999999999999999E-2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16356535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14805420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329448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1115015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49072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57580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R45"/>
  <sheetViews>
    <sheetView zoomScale="87" zoomScaleNormal="87" workbookViewId="0">
      <selection activeCell="D46" sqref="D45:D46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9" width="0" hidden="1" customWidth="1"/>
  </cols>
  <sheetData>
    <row r="1" spans="1:18" ht="23.25" x14ac:dyDescent="0.2">
      <c r="A1" s="370" t="s">
        <v>15</v>
      </c>
      <c r="B1" s="370"/>
      <c r="C1" s="370"/>
      <c r="D1" s="370"/>
      <c r="E1" s="370"/>
      <c r="F1" s="370"/>
      <c r="G1" s="370"/>
      <c r="H1" s="370"/>
    </row>
    <row r="2" spans="1:18" ht="60" customHeight="1" x14ac:dyDescent="0.2">
      <c r="A2" s="371" t="s">
        <v>27</v>
      </c>
      <c r="B2" s="371"/>
      <c r="C2" s="371"/>
      <c r="D2" s="371"/>
      <c r="E2" s="371"/>
      <c r="F2" s="371"/>
      <c r="G2" s="371"/>
      <c r="H2" s="371"/>
    </row>
    <row r="3" spans="1:18" ht="24.75" customHeight="1" thickBot="1" x14ac:dyDescent="0.25">
      <c r="A3" s="381">
        <v>44075</v>
      </c>
      <c r="B3" s="381"/>
      <c r="C3" s="381"/>
      <c r="D3" s="381"/>
      <c r="E3" s="381"/>
      <c r="F3" s="381"/>
      <c r="G3" s="381"/>
      <c r="H3" s="381"/>
    </row>
    <row r="4" spans="1:18" ht="12.75" customHeight="1" x14ac:dyDescent="0.2">
      <c r="A4" s="382" t="s">
        <v>0</v>
      </c>
      <c r="B4" s="375" t="s">
        <v>12</v>
      </c>
      <c r="C4" s="376"/>
      <c r="D4" s="376"/>
      <c r="E4" s="376"/>
      <c r="F4" s="376"/>
      <c r="G4" s="376"/>
      <c r="H4" s="377"/>
    </row>
    <row r="5" spans="1:18" ht="60" customHeight="1" thickBot="1" x14ac:dyDescent="0.25">
      <c r="A5" s="383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4117171</v>
      </c>
      <c r="C6" s="24">
        <f>C7+C8+C9+C10</f>
        <v>15214</v>
      </c>
      <c r="D6" s="24">
        <f t="shared" ref="D6:F6" si="1">D7+D8+D9+D10</f>
        <v>50368</v>
      </c>
      <c r="E6" s="24">
        <f t="shared" si="1"/>
        <v>289855</v>
      </c>
      <c r="F6" s="24">
        <f t="shared" si="1"/>
        <v>1811965</v>
      </c>
      <c r="G6" s="24">
        <f>G7+G8+G9+G10</f>
        <v>0</v>
      </c>
      <c r="H6" s="24">
        <f>H7+H8+H9+H10</f>
        <v>1949769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3991183</v>
      </c>
      <c r="C7" s="4"/>
      <c r="D7" s="4">
        <v>50368</v>
      </c>
      <c r="E7" s="4">
        <v>289855</v>
      </c>
      <c r="F7" s="4">
        <v>1808957</v>
      </c>
      <c r="G7" s="4"/>
      <c r="H7" s="4">
        <v>1842003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107438</v>
      </c>
      <c r="C8" s="4"/>
      <c r="D8" s="4"/>
      <c r="E8" s="4"/>
      <c r="F8" s="4">
        <v>3008</v>
      </c>
      <c r="G8" s="4"/>
      <c r="H8" s="4">
        <v>104430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3336</v>
      </c>
      <c r="C9" s="4"/>
      <c r="D9" s="4"/>
      <c r="E9" s="4"/>
      <c r="F9" s="4"/>
      <c r="G9" s="4"/>
      <c r="H9" s="4">
        <v>3336</v>
      </c>
      <c r="K9" s="74" t="s">
        <v>41</v>
      </c>
      <c r="L9" s="75"/>
      <c r="M9" s="75">
        <v>0</v>
      </c>
      <c r="N9" s="75">
        <v>9582</v>
      </c>
      <c r="O9" s="75">
        <v>2725</v>
      </c>
      <c r="P9" s="75"/>
      <c r="Q9" s="75"/>
      <c r="R9" s="76">
        <f>SUM(L9:Q9)</f>
        <v>12307</v>
      </c>
    </row>
    <row r="10" spans="1:18" ht="14.25" x14ac:dyDescent="0.2">
      <c r="A10" s="38" t="s">
        <v>18</v>
      </c>
      <c r="B10" s="2">
        <f t="shared" si="0"/>
        <v>15214</v>
      </c>
      <c r="C10" s="4">
        <v>15214</v>
      </c>
      <c r="D10" s="4"/>
      <c r="E10" s="4"/>
      <c r="F10" s="4"/>
      <c r="G10" s="4"/>
      <c r="H10" s="4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9582</v>
      </c>
      <c r="O10" s="77">
        <f t="shared" si="2"/>
        <v>2725</v>
      </c>
      <c r="P10" s="77">
        <f t="shared" si="2"/>
        <v>0</v>
      </c>
      <c r="Q10" s="77">
        <f t="shared" si="2"/>
        <v>0</v>
      </c>
      <c r="R10" s="77">
        <f>SUM(L10:Q10)</f>
        <v>12307</v>
      </c>
    </row>
    <row r="11" spans="1:18" ht="15" x14ac:dyDescent="0.25">
      <c r="A11" s="39" t="s">
        <v>9</v>
      </c>
      <c r="B11" s="67">
        <f>D11+E11+F11+G11+H11+C11</f>
        <v>34101887</v>
      </c>
      <c r="C11" s="5">
        <f>C12+C13+C14+C15</f>
        <v>95830</v>
      </c>
      <c r="D11" s="5">
        <f t="shared" ref="D11:G11" si="3">D12+D13+D14+D15</f>
        <v>542811</v>
      </c>
      <c r="E11" s="5">
        <f t="shared" si="3"/>
        <v>143615</v>
      </c>
      <c r="F11" s="5">
        <f t="shared" si="3"/>
        <v>2442618</v>
      </c>
      <c r="G11" s="5">
        <f t="shared" si="3"/>
        <v>13120</v>
      </c>
      <c r="H11" s="59">
        <f>H12+H13+H14+H15</f>
        <v>30863893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32560823</v>
      </c>
      <c r="C12" s="4">
        <v>0</v>
      </c>
      <c r="D12" s="4">
        <v>542811</v>
      </c>
      <c r="E12" s="4">
        <v>132667</v>
      </c>
      <c r="F12" s="4">
        <v>2398187</v>
      </c>
      <c r="G12" s="4">
        <v>13120</v>
      </c>
      <c r="H12" s="6">
        <v>29474038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9582</v>
      </c>
      <c r="O12" s="81">
        <f t="shared" si="4"/>
        <v>2725</v>
      </c>
      <c r="P12" s="81">
        <f t="shared" si="4"/>
        <v>0</v>
      </c>
      <c r="Q12" s="81">
        <f t="shared" si="4"/>
        <v>0</v>
      </c>
      <c r="R12" s="82">
        <f>SUM(L12:Q12)</f>
        <v>12307</v>
      </c>
    </row>
    <row r="13" spans="1:18" x14ac:dyDescent="0.2">
      <c r="A13" s="38" t="s">
        <v>7</v>
      </c>
      <c r="B13" s="25">
        <f t="shared" si="0"/>
        <v>1341614</v>
      </c>
      <c r="C13" s="7">
        <v>0</v>
      </c>
      <c r="D13" s="7">
        <v>0</v>
      </c>
      <c r="E13" s="7">
        <v>10948</v>
      </c>
      <c r="F13" s="7">
        <v>44431</v>
      </c>
      <c r="G13" s="7">
        <v>0</v>
      </c>
      <c r="H13" s="6">
        <v>1286235</v>
      </c>
    </row>
    <row r="14" spans="1:18" x14ac:dyDescent="0.2">
      <c r="A14" s="38" t="s">
        <v>8</v>
      </c>
      <c r="B14" s="2">
        <f t="shared" si="0"/>
        <v>103620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6">
        <v>103620</v>
      </c>
    </row>
    <row r="15" spans="1:18" x14ac:dyDescent="0.2">
      <c r="A15" s="38" t="s">
        <v>18</v>
      </c>
      <c r="B15" s="2">
        <f t="shared" si="0"/>
        <v>95830</v>
      </c>
      <c r="C15" s="4">
        <v>95830</v>
      </c>
      <c r="D15" s="4">
        <v>0</v>
      </c>
      <c r="E15" s="4">
        <v>0</v>
      </c>
      <c r="F15" s="4">
        <v>0</v>
      </c>
      <c r="G15" s="4">
        <v>0</v>
      </c>
      <c r="H15" s="6">
        <v>0</v>
      </c>
    </row>
    <row r="16" spans="1:18" x14ac:dyDescent="0.2">
      <c r="A16" s="39" t="s">
        <v>10</v>
      </c>
      <c r="B16" s="1">
        <f>D16+E16+F16+G16+H16+C16</f>
        <v>64157040</v>
      </c>
      <c r="C16" s="5">
        <f t="shared" ref="C16:H16" si="5">C17+C18+C19+C20</f>
        <v>1949788</v>
      </c>
      <c r="D16" s="5">
        <f t="shared" si="5"/>
        <v>9258756</v>
      </c>
      <c r="E16" s="5">
        <f t="shared" si="5"/>
        <v>5247931</v>
      </c>
      <c r="F16" s="5">
        <f t="shared" si="5"/>
        <v>39197825</v>
      </c>
      <c r="G16" s="5">
        <f t="shared" si="5"/>
        <v>59785</v>
      </c>
      <c r="H16" s="59">
        <f t="shared" si="5"/>
        <v>8442955</v>
      </c>
    </row>
    <row r="17" spans="1:9" x14ac:dyDescent="0.2">
      <c r="A17" s="38" t="s">
        <v>17</v>
      </c>
      <c r="B17" s="2">
        <f t="shared" si="0"/>
        <v>61527788</v>
      </c>
      <c r="C17" s="4"/>
      <c r="D17" s="4">
        <v>9258756</v>
      </c>
      <c r="E17" s="4">
        <f>5257318-9387</f>
        <v>5247931</v>
      </c>
      <c r="F17" s="4">
        <v>38876318</v>
      </c>
      <c r="G17" s="4">
        <v>59785</v>
      </c>
      <c r="H17" s="6">
        <f>8097305-12307</f>
        <v>8084998</v>
      </c>
    </row>
    <row r="18" spans="1:9" x14ac:dyDescent="0.2">
      <c r="A18" s="38" t="s">
        <v>7</v>
      </c>
      <c r="B18" s="25">
        <f t="shared" si="0"/>
        <v>625465</v>
      </c>
      <c r="C18" s="7"/>
      <c r="D18" s="7"/>
      <c r="E18" s="7"/>
      <c r="F18" s="7">
        <v>297704</v>
      </c>
      <c r="G18" s="7"/>
      <c r="H18" s="6">
        <v>327761</v>
      </c>
    </row>
    <row r="19" spans="1:9" x14ac:dyDescent="0.2">
      <c r="A19" s="38" t="s">
        <v>8</v>
      </c>
      <c r="B19" s="2">
        <f t="shared" si="0"/>
        <v>53999</v>
      </c>
      <c r="C19" s="4"/>
      <c r="D19" s="4"/>
      <c r="E19" s="4"/>
      <c r="F19" s="4">
        <v>23803</v>
      </c>
      <c r="G19" s="4"/>
      <c r="H19" s="8">
        <v>30196</v>
      </c>
    </row>
    <row r="20" spans="1:9" ht="19.5" customHeight="1" x14ac:dyDescent="0.2">
      <c r="A20" s="38" t="s">
        <v>18</v>
      </c>
      <c r="B20" s="2">
        <f t="shared" si="0"/>
        <v>1949788</v>
      </c>
      <c r="C20" s="4">
        <v>1949788</v>
      </c>
      <c r="D20" s="4"/>
      <c r="E20" s="4"/>
      <c r="F20" s="4"/>
      <c r="G20" s="4"/>
      <c r="H20" s="8"/>
    </row>
    <row r="21" spans="1:9" ht="15.75" customHeight="1" x14ac:dyDescent="0.2">
      <c r="A21" s="39" t="s">
        <v>11</v>
      </c>
      <c r="B21" s="44">
        <f>D21+E21+F21+G21+H21+C21</f>
        <v>102376098</v>
      </c>
      <c r="C21" s="9">
        <f>C6+C11+C16</f>
        <v>2060832</v>
      </c>
      <c r="D21" s="9">
        <f t="shared" ref="D21:H21" si="6">D6+D11+D16</f>
        <v>9851935</v>
      </c>
      <c r="E21" s="9">
        <f t="shared" si="6"/>
        <v>5681401</v>
      </c>
      <c r="F21" s="9">
        <f t="shared" si="6"/>
        <v>43452408</v>
      </c>
      <c r="G21" s="9">
        <f t="shared" si="6"/>
        <v>72905</v>
      </c>
      <c r="H21" s="9">
        <f t="shared" si="6"/>
        <v>41256617</v>
      </c>
      <c r="I21">
        <v>102388405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12307</v>
      </c>
    </row>
    <row r="23" spans="1:9" ht="14.25" customHeight="1" thickBot="1" x14ac:dyDescent="0.25">
      <c r="A23" s="40" t="s">
        <v>14</v>
      </c>
      <c r="B23" s="45">
        <v>5773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378" t="s">
        <v>13</v>
      </c>
      <c r="C24" s="379"/>
      <c r="D24" s="379"/>
      <c r="E24" s="379"/>
      <c r="F24" s="379"/>
      <c r="G24" s="379"/>
      <c r="H24" s="380"/>
    </row>
    <row r="25" spans="1:9" ht="24.75" customHeight="1" x14ac:dyDescent="0.2">
      <c r="A25" s="47" t="s">
        <v>28</v>
      </c>
      <c r="B25" s="50">
        <f>B27+B28+B29+B26</f>
        <v>9.8009999999999984</v>
      </c>
      <c r="C25" s="26">
        <f>C26</f>
        <v>2.5459999999999998</v>
      </c>
      <c r="D25" s="26">
        <f t="shared" ref="D25:H25" si="7">D27+D28+D29+D26</f>
        <v>0.219</v>
      </c>
      <c r="E25" s="26">
        <f>E27+E28+E29+E26</f>
        <v>6.0000000000000001E-3</v>
      </c>
      <c r="F25" s="26">
        <f t="shared" si="7"/>
        <v>6.4239999999999995</v>
      </c>
      <c r="G25" s="26">
        <f t="shared" si="7"/>
        <v>8.9999999999999993E-3</v>
      </c>
      <c r="H25" s="27">
        <f t="shared" si="7"/>
        <v>0.59699999999999998</v>
      </c>
    </row>
    <row r="26" spans="1:9" x14ac:dyDescent="0.2">
      <c r="A26" s="48" t="s">
        <v>18</v>
      </c>
      <c r="B26" s="68">
        <f>SUM(C26:H26)</f>
        <v>2.5459999999999998</v>
      </c>
      <c r="C26" s="28">
        <v>2.5459999999999998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7.2319999999999993</v>
      </c>
      <c r="C27" s="28"/>
      <c r="D27" s="28">
        <v>0.219</v>
      </c>
      <c r="E27" s="28">
        <v>6.0000000000000001E-3</v>
      </c>
      <c r="F27" s="28">
        <v>6.4169999999999998</v>
      </c>
      <c r="G27" s="28">
        <v>8.9999999999999993E-3</v>
      </c>
      <c r="H27" s="29">
        <v>0.58099999999999996</v>
      </c>
    </row>
    <row r="28" spans="1:9" x14ac:dyDescent="0.2">
      <c r="A28" s="38" t="s">
        <v>7</v>
      </c>
      <c r="B28" s="51">
        <f t="shared" ref="B28" si="8">SUM(C28:H28)</f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9" ht="13.5" customHeight="1" thickBot="1" x14ac:dyDescent="0.25">
      <c r="A29" s="49" t="s">
        <v>8</v>
      </c>
      <c r="B29" s="51">
        <f t="shared" ref="B29" si="9">SUM(C29:H29)</f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16008767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62" t="s">
        <v>19</v>
      </c>
      <c r="B32" s="60">
        <f>13953827+265134</f>
        <v>14218961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62" t="s">
        <v>16</v>
      </c>
      <c r="B33" s="61">
        <v>343178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63" t="s">
        <v>24</v>
      </c>
      <c r="B34" s="61">
        <v>1274722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62" t="s">
        <v>20</v>
      </c>
      <c r="B35" s="61">
        <v>84857</v>
      </c>
      <c r="C35" s="3"/>
      <c r="D35" s="10"/>
      <c r="E35" s="10"/>
      <c r="F35" s="10"/>
      <c r="G35" s="10"/>
      <c r="H35" s="16"/>
    </row>
    <row r="36" spans="1:8" ht="13.5" customHeight="1" x14ac:dyDescent="0.2">
      <c r="A36" s="62" t="s">
        <v>22</v>
      </c>
      <c r="B36" s="61">
        <v>87049</v>
      </c>
      <c r="C36" s="3"/>
      <c r="D36" s="10"/>
      <c r="E36" s="10"/>
      <c r="F36" s="10"/>
      <c r="G36" s="10"/>
      <c r="H36" s="16"/>
    </row>
    <row r="37" spans="1:8" ht="13.5" hidden="1" customHeight="1" thickBot="1" x14ac:dyDescent="0.25">
      <c r="A37" s="64" t="s">
        <v>30</v>
      </c>
      <c r="B37" s="65">
        <f>265134-265134</f>
        <v>0</v>
      </c>
      <c r="C37" s="17"/>
      <c r="D37" s="18"/>
      <c r="E37" s="18"/>
      <c r="F37" s="18"/>
      <c r="G37" s="18"/>
      <c r="H37" s="19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2" spans="1:8" x14ac:dyDescent="0.2">
      <c r="B42" s="32"/>
      <c r="C42" s="32"/>
    </row>
    <row r="45" spans="1:8" x14ac:dyDescent="0.2">
      <c r="B45" s="32"/>
      <c r="C45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01.2020</vt:lpstr>
      <vt:lpstr>02.2020</vt:lpstr>
      <vt:lpstr>03.2020</vt:lpstr>
      <vt:lpstr>04.2020</vt:lpstr>
      <vt:lpstr>05.2020</vt:lpstr>
      <vt:lpstr>06.2020</vt:lpstr>
      <vt:lpstr>07.2020</vt:lpstr>
      <vt:lpstr>08.2020</vt:lpstr>
      <vt:lpstr>09.2020</vt:lpstr>
      <vt:lpstr>10.2020</vt:lpstr>
      <vt:lpstr>11.2020</vt:lpstr>
      <vt:lpstr>12.2020</vt:lpstr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  <vt:lpstr>11.2021</vt:lpstr>
      <vt:lpstr>12.2021</vt:lpstr>
      <vt:lpstr>01.2022</vt:lpstr>
      <vt:lpstr>02.2022</vt:lpstr>
      <vt:lpstr>03.2022</vt:lpstr>
      <vt:lpstr>04.2022</vt:lpstr>
      <vt:lpstr>05.2022</vt:lpstr>
      <vt:lpstr>06.2022</vt:lpstr>
      <vt:lpstr>07.2022</vt:lpstr>
      <vt:lpstr>08.2022</vt:lpstr>
      <vt:lpstr>09.2022</vt:lpstr>
      <vt:lpstr>10.2022</vt:lpstr>
      <vt:lpstr>11.2022</vt:lpstr>
      <vt:lpstr>12.2022</vt:lpstr>
      <vt:lpstr>01.2023</vt:lpstr>
      <vt:lpstr>02.2023</vt:lpstr>
      <vt:lpstr>03.2023</vt:lpstr>
      <vt:lpstr>04.2023</vt:lpstr>
      <vt:lpstr>05.2023</vt:lpstr>
      <vt:lpstr>06.2023</vt:lpstr>
      <vt:lpstr>07.2023</vt:lpstr>
      <vt:lpstr>08.2023</vt:lpstr>
      <vt:lpstr>09.2023</vt:lpstr>
      <vt:lpstr>10.2023</vt:lpstr>
      <vt:lpstr>11.2023</vt:lpstr>
      <vt:lpstr>12.2023</vt:lpstr>
      <vt:lpstr>01.2024</vt:lpstr>
      <vt:lpstr>02.2024</vt:lpstr>
      <vt:lpstr>03.2024</vt:lpstr>
      <vt:lpstr>04.2024</vt:lpstr>
      <vt:lpstr>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2024-06-13T07:26:58Z</dcterms:modified>
</cp:coreProperties>
</file>