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5\"/>
    </mc:Choice>
  </mc:AlternateContent>
  <xr:revisionPtr revIDLastSave="0" documentId="8_{B20A124B-EDE2-402A-9535-D5D25BF762DC}" xr6:coauthVersionLast="36" xr6:coauthVersionMax="36" xr10:uidLastSave="{00000000-0000-0000-0000-000000000000}"/>
  <bookViews>
    <workbookView xWindow="0" yWindow="0" windowWidth="28800" windowHeight="12225" tabRatio="883" firstSheet="1" activeTab="21" xr2:uid="{00000000-000D-0000-FFFF-FFFF00000000}"/>
  </bookViews>
  <sheets>
    <sheet name="01.2024" sheetId="120" r:id="rId1"/>
    <sheet name="02.2024" sheetId="121" r:id="rId2"/>
    <sheet name="03.2024" sheetId="122" r:id="rId3"/>
    <sheet name="04.2024" sheetId="123" r:id="rId4"/>
    <sheet name="05.2024" sheetId="124" r:id="rId5"/>
    <sheet name="06.2024" sheetId="125" r:id="rId6"/>
    <sheet name="07.2024" sheetId="127" r:id="rId7"/>
    <sheet name="08.2024" sheetId="126" r:id="rId8"/>
    <sheet name="09.2024" sheetId="128" r:id="rId9"/>
    <sheet name="10.2024" sheetId="129" r:id="rId10"/>
    <sheet name="11.2024" sheetId="130" r:id="rId11"/>
    <sheet name="12.2024" sheetId="131" r:id="rId12"/>
    <sheet name="01.2025" sheetId="132" r:id="rId13"/>
    <sheet name="02.2025" sheetId="133" r:id="rId14"/>
    <sheet name="03.2025" sheetId="134" r:id="rId15"/>
    <sheet name="04.2025" sheetId="135" r:id="rId16"/>
    <sheet name="05.2025" sheetId="136" r:id="rId17"/>
    <sheet name="06.2025" sheetId="137" r:id="rId18"/>
    <sheet name="07.2025" sheetId="139" r:id="rId19"/>
    <sheet name="08.2025" sheetId="138" r:id="rId20"/>
    <sheet name="09.2025" sheetId="140" r:id="rId21"/>
    <sheet name="10.2025" sheetId="141" r:id="rId22"/>
  </sheets>
  <calcPr calcId="191029"/>
</workbook>
</file>

<file path=xl/calcChain.xml><?xml version="1.0" encoding="utf-8"?>
<calcChain xmlns="http://schemas.openxmlformats.org/spreadsheetml/2006/main">
  <c r="H13" i="141" l="1"/>
  <c r="D34" i="141" l="1"/>
  <c r="B34" i="141"/>
  <c r="B35" i="141" s="1"/>
  <c r="E33" i="141"/>
  <c r="C33" i="141"/>
  <c r="E32" i="141"/>
  <c r="C32" i="141"/>
  <c r="E31" i="141"/>
  <c r="C31" i="141"/>
  <c r="E30" i="141"/>
  <c r="C30" i="141"/>
  <c r="E29" i="141"/>
  <c r="C29" i="141"/>
  <c r="J22" i="141"/>
  <c r="B21" i="141"/>
  <c r="B19" i="141"/>
  <c r="B18" i="141"/>
  <c r="H17" i="141"/>
  <c r="G17" i="141"/>
  <c r="F17" i="141"/>
  <c r="E17" i="141"/>
  <c r="D17" i="141"/>
  <c r="C17" i="141"/>
  <c r="B14" i="141"/>
  <c r="B13" i="141"/>
  <c r="H12" i="141"/>
  <c r="G12" i="141"/>
  <c r="F12" i="141"/>
  <c r="E12" i="141"/>
  <c r="D12" i="141"/>
  <c r="C12" i="141"/>
  <c r="B11" i="141"/>
  <c r="B10" i="141"/>
  <c r="H9" i="141"/>
  <c r="G9" i="141"/>
  <c r="F9" i="141"/>
  <c r="E9" i="141"/>
  <c r="D9" i="141"/>
  <c r="C9" i="141"/>
  <c r="H8" i="141"/>
  <c r="G8" i="141"/>
  <c r="F8" i="141"/>
  <c r="E8" i="141"/>
  <c r="D8" i="141"/>
  <c r="C8" i="141"/>
  <c r="H7" i="141"/>
  <c r="G7" i="141"/>
  <c r="F7" i="141"/>
  <c r="E7" i="141"/>
  <c r="B7" i="141" s="1"/>
  <c r="D7" i="141"/>
  <c r="C7" i="141"/>
  <c r="C6" i="141" s="1"/>
  <c r="B17" i="141" l="1"/>
  <c r="K17" i="141" s="1"/>
  <c r="B9" i="141"/>
  <c r="B8" i="141"/>
  <c r="B6" i="141" s="1"/>
  <c r="J7" i="141" s="1"/>
  <c r="D6" i="141"/>
  <c r="G6" i="141"/>
  <c r="B12" i="141"/>
  <c r="F6" i="141"/>
  <c r="H6" i="141"/>
  <c r="C34" i="141"/>
  <c r="D35" i="141"/>
  <c r="E34" i="141"/>
  <c r="E6" i="141"/>
  <c r="J23" i="141"/>
  <c r="J25" i="141" s="1"/>
  <c r="D31" i="140"/>
  <c r="D32" i="140"/>
  <c r="D29" i="140"/>
  <c r="H13" i="140" l="1"/>
  <c r="D34" i="140" l="1"/>
  <c r="J23" i="140" s="1"/>
  <c r="B34" i="140"/>
  <c r="B35" i="140" s="1"/>
  <c r="E33" i="140"/>
  <c r="C33" i="140"/>
  <c r="E32" i="140"/>
  <c r="C32" i="140"/>
  <c r="E31" i="140"/>
  <c r="C31" i="140"/>
  <c r="E30" i="140"/>
  <c r="C30" i="140"/>
  <c r="E29" i="140"/>
  <c r="C29" i="140"/>
  <c r="J22" i="140"/>
  <c r="B21" i="140"/>
  <c r="B19" i="140"/>
  <c r="B18" i="140"/>
  <c r="H17" i="140"/>
  <c r="G17" i="140"/>
  <c r="F17" i="140"/>
  <c r="E17" i="140"/>
  <c r="D17" i="140"/>
  <c r="C17" i="140"/>
  <c r="B14" i="140"/>
  <c r="H12" i="140"/>
  <c r="G12" i="140"/>
  <c r="F12" i="140"/>
  <c r="E12" i="140"/>
  <c r="D12" i="140"/>
  <c r="C12" i="140"/>
  <c r="B11" i="140"/>
  <c r="B10" i="140"/>
  <c r="H9" i="140"/>
  <c r="B9" i="140" s="1"/>
  <c r="G9" i="140"/>
  <c r="F9" i="140"/>
  <c r="E9" i="140"/>
  <c r="D9" i="140"/>
  <c r="C9" i="140"/>
  <c r="H8" i="140"/>
  <c r="G8" i="140"/>
  <c r="G6" i="140" s="1"/>
  <c r="F8" i="140"/>
  <c r="E8" i="140"/>
  <c r="D8" i="140"/>
  <c r="C8" i="140"/>
  <c r="G7" i="140"/>
  <c r="F7" i="140"/>
  <c r="E7" i="140"/>
  <c r="E6" i="140" s="1"/>
  <c r="D7" i="140"/>
  <c r="D6" i="140" s="1"/>
  <c r="C7" i="140"/>
  <c r="B17" i="140" l="1"/>
  <c r="K17" i="140" s="1"/>
  <c r="C34" i="140"/>
  <c r="F6" i="140"/>
  <c r="C6" i="140"/>
  <c r="B8" i="140"/>
  <c r="B12" i="140"/>
  <c r="J25" i="140"/>
  <c r="D35" i="140"/>
  <c r="E34" i="140"/>
  <c r="B13" i="140"/>
  <c r="H7" i="140"/>
  <c r="H13" i="138"/>
  <c r="B7" i="140" l="1"/>
  <c r="B6" i="140" s="1"/>
  <c r="J7" i="140" s="1"/>
  <c r="H6" i="140"/>
  <c r="D34" i="139"/>
  <c r="D35" i="139" s="1"/>
  <c r="B34" i="139"/>
  <c r="B35" i="139" s="1"/>
  <c r="E33" i="139"/>
  <c r="C33" i="139"/>
  <c r="E32" i="139"/>
  <c r="C32" i="139"/>
  <c r="E31" i="139"/>
  <c r="C31" i="139"/>
  <c r="E30" i="139"/>
  <c r="C30" i="139"/>
  <c r="E29" i="139"/>
  <c r="E34" i="139" s="1"/>
  <c r="C29" i="139"/>
  <c r="C34" i="139" s="1"/>
  <c r="J23" i="139"/>
  <c r="J22" i="139"/>
  <c r="B21" i="139"/>
  <c r="J25" i="139" s="1"/>
  <c r="B19" i="139"/>
  <c r="B18" i="139"/>
  <c r="H17" i="139"/>
  <c r="B17" i="139" s="1"/>
  <c r="K17" i="139" s="1"/>
  <c r="G17" i="139"/>
  <c r="F17" i="139"/>
  <c r="E17" i="139"/>
  <c r="D17" i="139"/>
  <c r="C17" i="139"/>
  <c r="B14" i="139"/>
  <c r="H13" i="139"/>
  <c r="B13" i="139" s="1"/>
  <c r="G12" i="139"/>
  <c r="F12" i="139"/>
  <c r="E12" i="139"/>
  <c r="D12" i="139"/>
  <c r="C12" i="139"/>
  <c r="B11" i="139"/>
  <c r="B10" i="139"/>
  <c r="H9" i="139"/>
  <c r="G9" i="139"/>
  <c r="F9" i="139"/>
  <c r="E9" i="139"/>
  <c r="D9" i="139"/>
  <c r="C9" i="139"/>
  <c r="B9" i="139" s="1"/>
  <c r="H8" i="139"/>
  <c r="G8" i="139"/>
  <c r="F8" i="139"/>
  <c r="E8" i="139"/>
  <c r="D8" i="139"/>
  <c r="C8" i="139"/>
  <c r="B8" i="139"/>
  <c r="G7" i="139"/>
  <c r="F7" i="139"/>
  <c r="E7" i="139"/>
  <c r="D7" i="139"/>
  <c r="D6" i="139" s="1"/>
  <c r="C7" i="139"/>
  <c r="G6" i="139"/>
  <c r="F6" i="139"/>
  <c r="E6" i="139"/>
  <c r="C6" i="139"/>
  <c r="H7" i="139" l="1"/>
  <c r="H12" i="139"/>
  <c r="B12" i="139" s="1"/>
  <c r="H6" i="139" l="1"/>
  <c r="B7" i="139"/>
  <c r="B6" i="139" s="1"/>
  <c r="J7" i="139" s="1"/>
  <c r="D34" i="138" l="1"/>
  <c r="B34" i="138"/>
  <c r="B35" i="138" s="1"/>
  <c r="E33" i="138"/>
  <c r="C33" i="138"/>
  <c r="E32" i="138"/>
  <c r="C32" i="138"/>
  <c r="E31" i="138"/>
  <c r="C31" i="138"/>
  <c r="E30" i="138"/>
  <c r="C30" i="138"/>
  <c r="E29" i="138"/>
  <c r="C29" i="138"/>
  <c r="J22" i="138"/>
  <c r="B21" i="138"/>
  <c r="B19" i="138"/>
  <c r="B18" i="138"/>
  <c r="H17" i="138"/>
  <c r="G17" i="138"/>
  <c r="F17" i="138"/>
  <c r="E17" i="138"/>
  <c r="D17" i="138"/>
  <c r="C17" i="138"/>
  <c r="B14" i="138"/>
  <c r="B13" i="138"/>
  <c r="H12" i="138"/>
  <c r="G12" i="138"/>
  <c r="F12" i="138"/>
  <c r="E12" i="138"/>
  <c r="D12" i="138"/>
  <c r="C12" i="138"/>
  <c r="B11" i="138"/>
  <c r="B10" i="138"/>
  <c r="H9" i="138"/>
  <c r="G9" i="138"/>
  <c r="F9" i="138"/>
  <c r="E9" i="138"/>
  <c r="D9" i="138"/>
  <c r="C9" i="138"/>
  <c r="H8" i="138"/>
  <c r="G8" i="138"/>
  <c r="F8" i="138"/>
  <c r="E8" i="138"/>
  <c r="D8" i="138"/>
  <c r="C8" i="138"/>
  <c r="H7" i="138"/>
  <c r="G7" i="138"/>
  <c r="F7" i="138"/>
  <c r="E7" i="138"/>
  <c r="D7" i="138"/>
  <c r="C7" i="138"/>
  <c r="C6" i="138" s="1"/>
  <c r="E6" i="138" l="1"/>
  <c r="F6" i="138"/>
  <c r="B9" i="138"/>
  <c r="B17" i="138"/>
  <c r="K17" i="138" s="1"/>
  <c r="H6" i="138"/>
  <c r="D6" i="138"/>
  <c r="G6" i="138"/>
  <c r="B12" i="138"/>
  <c r="B8" i="138"/>
  <c r="B7" i="138"/>
  <c r="B6" i="138" s="1"/>
  <c r="J7" i="138" s="1"/>
  <c r="C34" i="138"/>
  <c r="E34" i="138"/>
  <c r="D35" i="138"/>
  <c r="J23" i="138"/>
  <c r="J25" i="138" s="1"/>
  <c r="H13" i="137"/>
  <c r="K17" i="136" l="1"/>
  <c r="D34" i="137" l="1"/>
  <c r="B34" i="137"/>
  <c r="B35" i="137" s="1"/>
  <c r="E33" i="137"/>
  <c r="C33" i="137"/>
  <c r="E32" i="137"/>
  <c r="C32" i="137"/>
  <c r="E31" i="137"/>
  <c r="C31" i="137"/>
  <c r="E30" i="137"/>
  <c r="C30" i="137"/>
  <c r="E29" i="137"/>
  <c r="C29" i="137"/>
  <c r="J22" i="137"/>
  <c r="B21" i="137"/>
  <c r="B19" i="137"/>
  <c r="B18" i="137"/>
  <c r="H17" i="137"/>
  <c r="G17" i="137"/>
  <c r="F17" i="137"/>
  <c r="E17" i="137"/>
  <c r="D17" i="137"/>
  <c r="C17" i="137"/>
  <c r="B14" i="137"/>
  <c r="B13" i="137"/>
  <c r="H12" i="137"/>
  <c r="G12" i="137"/>
  <c r="F12" i="137"/>
  <c r="E12" i="137"/>
  <c r="D12" i="137"/>
  <c r="C12" i="137"/>
  <c r="B12" i="137" s="1"/>
  <c r="B11" i="137"/>
  <c r="B10" i="137"/>
  <c r="H9" i="137"/>
  <c r="G9" i="137"/>
  <c r="F9" i="137"/>
  <c r="E9" i="137"/>
  <c r="D9" i="137"/>
  <c r="C9" i="137"/>
  <c r="B9" i="137"/>
  <c r="H8" i="137"/>
  <c r="G8" i="137"/>
  <c r="F8" i="137"/>
  <c r="E8" i="137"/>
  <c r="D8" i="137"/>
  <c r="C8" i="137"/>
  <c r="H7" i="137"/>
  <c r="G7" i="137"/>
  <c r="G6" i="137" s="1"/>
  <c r="F7" i="137"/>
  <c r="F6" i="137" s="1"/>
  <c r="E7" i="137"/>
  <c r="D7" i="137"/>
  <c r="C7" i="137"/>
  <c r="D6" i="137"/>
  <c r="C6" i="137" l="1"/>
  <c r="B8" i="137"/>
  <c r="H6" i="137"/>
  <c r="E6" i="137"/>
  <c r="B17" i="137"/>
  <c r="K17" i="137" s="1"/>
  <c r="D35" i="137"/>
  <c r="J23" i="137"/>
  <c r="J25" i="137" s="1"/>
  <c r="C34" i="137"/>
  <c r="E34" i="137"/>
  <c r="B7" i="137"/>
  <c r="B6" i="137" s="1"/>
  <c r="J7" i="137" s="1"/>
  <c r="H13" i="136"/>
  <c r="D17" i="136" l="1"/>
  <c r="D34" i="136" l="1"/>
  <c r="J23" i="136" s="1"/>
  <c r="B34" i="136"/>
  <c r="B35" i="136" s="1"/>
  <c r="E33" i="136"/>
  <c r="C33" i="136"/>
  <c r="E32" i="136"/>
  <c r="C32" i="136"/>
  <c r="E31" i="136"/>
  <c r="C31" i="136"/>
  <c r="E30" i="136"/>
  <c r="C30" i="136"/>
  <c r="E29" i="136"/>
  <c r="C29" i="136"/>
  <c r="J22" i="136"/>
  <c r="B21" i="136"/>
  <c r="B19" i="136"/>
  <c r="B18" i="136"/>
  <c r="H17" i="136"/>
  <c r="G17" i="136"/>
  <c r="F17" i="136"/>
  <c r="E17" i="136"/>
  <c r="C17" i="136"/>
  <c r="B14" i="136"/>
  <c r="H12" i="136"/>
  <c r="B13" i="136"/>
  <c r="G12" i="136"/>
  <c r="F12" i="136"/>
  <c r="E12" i="136"/>
  <c r="D12" i="136"/>
  <c r="C12" i="136"/>
  <c r="B11" i="136"/>
  <c r="B10" i="136"/>
  <c r="H9" i="136"/>
  <c r="G9" i="136"/>
  <c r="F9" i="136"/>
  <c r="E9" i="136"/>
  <c r="D9" i="136"/>
  <c r="C9" i="136"/>
  <c r="B9" i="136"/>
  <c r="H8" i="136"/>
  <c r="G8" i="136"/>
  <c r="F8" i="136"/>
  <c r="E8" i="136"/>
  <c r="D8" i="136"/>
  <c r="C8" i="136"/>
  <c r="G7" i="136"/>
  <c r="F7" i="136"/>
  <c r="E7" i="136"/>
  <c r="D7" i="136"/>
  <c r="C7" i="136"/>
  <c r="C6" i="136" s="1"/>
  <c r="D6" i="136" l="1"/>
  <c r="D35" i="136"/>
  <c r="B8" i="136"/>
  <c r="F6" i="136"/>
  <c r="G6" i="136"/>
  <c r="E6" i="136"/>
  <c r="B12" i="136"/>
  <c r="B17" i="136"/>
  <c r="E34" i="136"/>
  <c r="J25" i="136"/>
  <c r="C34" i="136"/>
  <c r="H7" i="136"/>
  <c r="H13" i="135"/>
  <c r="B7" i="136" l="1"/>
  <c r="B6" i="136" s="1"/>
  <c r="J7" i="136" s="1"/>
  <c r="H6" i="136"/>
  <c r="J22" i="135"/>
  <c r="D34" i="135" l="1"/>
  <c r="J23" i="135" s="1"/>
  <c r="J25" i="135" s="1"/>
  <c r="B34" i="135"/>
  <c r="B35" i="135" s="1"/>
  <c r="E33" i="135"/>
  <c r="C33" i="135"/>
  <c r="E32" i="135"/>
  <c r="C32" i="135"/>
  <c r="E31" i="135"/>
  <c r="C31" i="135"/>
  <c r="E30" i="135"/>
  <c r="C30" i="135"/>
  <c r="E29" i="135"/>
  <c r="C29" i="135"/>
  <c r="B21" i="135"/>
  <c r="B19" i="135"/>
  <c r="B18" i="135"/>
  <c r="H17" i="135"/>
  <c r="G17" i="135"/>
  <c r="F17" i="135"/>
  <c r="E17" i="135"/>
  <c r="D17" i="135"/>
  <c r="C17" i="135"/>
  <c r="B14" i="135"/>
  <c r="B13" i="135"/>
  <c r="G12" i="135"/>
  <c r="F12" i="135"/>
  <c r="E12" i="135"/>
  <c r="D12" i="135"/>
  <c r="C12" i="135"/>
  <c r="B11" i="135"/>
  <c r="B10" i="135"/>
  <c r="H9" i="135"/>
  <c r="G9" i="135"/>
  <c r="F9" i="135"/>
  <c r="E9" i="135"/>
  <c r="D9" i="135"/>
  <c r="C9" i="135"/>
  <c r="B9" i="135" s="1"/>
  <c r="H8" i="135"/>
  <c r="G8" i="135"/>
  <c r="F8" i="135"/>
  <c r="E8" i="135"/>
  <c r="D8" i="135"/>
  <c r="C8" i="135"/>
  <c r="G7" i="135"/>
  <c r="F7" i="135"/>
  <c r="E7" i="135"/>
  <c r="E6" i="135" s="1"/>
  <c r="D7" i="135"/>
  <c r="D6" i="135" s="1"/>
  <c r="C7" i="135"/>
  <c r="B17" i="135" l="1"/>
  <c r="K17" i="135" s="1"/>
  <c r="F6" i="135"/>
  <c r="B8" i="135"/>
  <c r="G6" i="135"/>
  <c r="C6" i="135"/>
  <c r="E34" i="135"/>
  <c r="C34" i="135"/>
  <c r="D35" i="135"/>
  <c r="H7" i="135"/>
  <c r="H12" i="135"/>
  <c r="B12" i="135" s="1"/>
  <c r="H13" i="134"/>
  <c r="H6" i="135" l="1"/>
  <c r="B7" i="135"/>
  <c r="B6" i="135" s="1"/>
  <c r="J7" i="135" s="1"/>
  <c r="D34" i="134"/>
  <c r="J23" i="134" s="1"/>
  <c r="B34" i="134"/>
  <c r="B35" i="134" s="1"/>
  <c r="E33" i="134"/>
  <c r="C33" i="134"/>
  <c r="E32" i="134"/>
  <c r="C32" i="134"/>
  <c r="E31" i="134"/>
  <c r="C31" i="134"/>
  <c r="E30" i="134"/>
  <c r="C30" i="134"/>
  <c r="E29" i="134"/>
  <c r="C29" i="134"/>
  <c r="J22" i="134"/>
  <c r="B21" i="134"/>
  <c r="B19" i="134"/>
  <c r="B18" i="134"/>
  <c r="H17" i="134"/>
  <c r="G17" i="134"/>
  <c r="F17" i="134"/>
  <c r="E17" i="134"/>
  <c r="D17" i="134"/>
  <c r="C17" i="134"/>
  <c r="B14" i="134"/>
  <c r="B13" i="134"/>
  <c r="H12" i="134"/>
  <c r="G12" i="134"/>
  <c r="F12" i="134"/>
  <c r="E12" i="134"/>
  <c r="D12" i="134"/>
  <c r="C12" i="134"/>
  <c r="B11" i="134"/>
  <c r="B10" i="134"/>
  <c r="H9" i="134"/>
  <c r="G9" i="134"/>
  <c r="F9" i="134"/>
  <c r="E9" i="134"/>
  <c r="D9" i="134"/>
  <c r="C9" i="134"/>
  <c r="H8" i="134"/>
  <c r="G8" i="134"/>
  <c r="G6" i="134" s="1"/>
  <c r="F8" i="134"/>
  <c r="E8" i="134"/>
  <c r="D8" i="134"/>
  <c r="C8" i="134"/>
  <c r="H7" i="134"/>
  <c r="G7" i="134"/>
  <c r="F7" i="134"/>
  <c r="E7" i="134"/>
  <c r="E6" i="134" s="1"/>
  <c r="D7" i="134"/>
  <c r="C7" i="134"/>
  <c r="B17" i="134" l="1"/>
  <c r="K17" i="134" s="1"/>
  <c r="C6" i="134"/>
  <c r="H6" i="134"/>
  <c r="B9" i="134"/>
  <c r="B7" i="134"/>
  <c r="F6" i="134"/>
  <c r="B12" i="134"/>
  <c r="B8" i="134"/>
  <c r="B6" i="134" s="1"/>
  <c r="J7" i="134" s="1"/>
  <c r="J25" i="134"/>
  <c r="C34" i="134"/>
  <c r="E34" i="134"/>
  <c r="D35" i="134"/>
  <c r="D6" i="134"/>
  <c r="M17" i="133"/>
  <c r="J19" i="133"/>
  <c r="M17" i="132"/>
  <c r="H13" i="133"/>
  <c r="D34" i="133" l="1"/>
  <c r="B34" i="133"/>
  <c r="B35" i="133" s="1"/>
  <c r="E33" i="133"/>
  <c r="C33" i="133"/>
  <c r="E32" i="133"/>
  <c r="C32" i="133"/>
  <c r="E31" i="133"/>
  <c r="C31" i="133"/>
  <c r="E30" i="133"/>
  <c r="C30" i="133"/>
  <c r="E29" i="133"/>
  <c r="C29" i="133"/>
  <c r="J22" i="133"/>
  <c r="M21" i="133"/>
  <c r="B21" i="133"/>
  <c r="B19" i="133"/>
  <c r="B18" i="133"/>
  <c r="H17" i="133"/>
  <c r="G17" i="133"/>
  <c r="F17" i="133"/>
  <c r="E17" i="133"/>
  <c r="D17" i="133"/>
  <c r="C17" i="133"/>
  <c r="B14" i="133"/>
  <c r="H12" i="133"/>
  <c r="B13" i="133"/>
  <c r="G12" i="133"/>
  <c r="F12" i="133"/>
  <c r="E12" i="133"/>
  <c r="D12" i="133"/>
  <c r="C12" i="133"/>
  <c r="B11" i="133"/>
  <c r="B10" i="133"/>
  <c r="H9" i="133"/>
  <c r="G9" i="133"/>
  <c r="F9" i="133"/>
  <c r="E9" i="133"/>
  <c r="D9" i="133"/>
  <c r="C9" i="133"/>
  <c r="B9" i="133" s="1"/>
  <c r="H8" i="133"/>
  <c r="B8" i="133" s="1"/>
  <c r="G8" i="133"/>
  <c r="F8" i="133"/>
  <c r="E8" i="133"/>
  <c r="D8" i="133"/>
  <c r="C8" i="133"/>
  <c r="G7" i="133"/>
  <c r="G6" i="133" s="1"/>
  <c r="F7" i="133"/>
  <c r="F6" i="133" s="1"/>
  <c r="E7" i="133"/>
  <c r="D7" i="133"/>
  <c r="D6" i="133" s="1"/>
  <c r="C7" i="133"/>
  <c r="C6" i="133" s="1"/>
  <c r="E6" i="133" l="1"/>
  <c r="B17" i="133"/>
  <c r="D35" i="133"/>
  <c r="B12" i="133"/>
  <c r="C34" i="133"/>
  <c r="E34" i="133"/>
  <c r="J23" i="133"/>
  <c r="J25" i="133" s="1"/>
  <c r="H7" i="133"/>
  <c r="H13" i="132"/>
  <c r="B7" i="133" l="1"/>
  <c r="B6" i="133" s="1"/>
  <c r="J7" i="133" s="1"/>
  <c r="H6" i="133"/>
  <c r="J18" i="132"/>
  <c r="J19" i="132" s="1"/>
  <c r="M19" i="132" s="1"/>
  <c r="M21" i="132"/>
  <c r="J19" i="131"/>
  <c r="D34" i="132" l="1"/>
  <c r="J23" i="132" s="1"/>
  <c r="B34" i="132"/>
  <c r="B35" i="132" s="1"/>
  <c r="E33" i="132"/>
  <c r="C33" i="132"/>
  <c r="E32" i="132"/>
  <c r="C32" i="132"/>
  <c r="E31" i="132"/>
  <c r="C31" i="132"/>
  <c r="E30" i="132"/>
  <c r="C30" i="132"/>
  <c r="E29" i="132"/>
  <c r="C29" i="132"/>
  <c r="J22" i="132"/>
  <c r="B21" i="132"/>
  <c r="B19" i="132"/>
  <c r="B18" i="132"/>
  <c r="H17" i="132"/>
  <c r="G17" i="132"/>
  <c r="F17" i="132"/>
  <c r="E17" i="132"/>
  <c r="D17" i="132"/>
  <c r="C17" i="132"/>
  <c r="B14" i="132"/>
  <c r="H12" i="132"/>
  <c r="B13" i="132"/>
  <c r="G12" i="132"/>
  <c r="F12" i="132"/>
  <c r="E12" i="132"/>
  <c r="D12" i="132"/>
  <c r="C12" i="132"/>
  <c r="B12" i="132" s="1"/>
  <c r="B11" i="132"/>
  <c r="B10" i="132"/>
  <c r="H9" i="132"/>
  <c r="G9" i="132"/>
  <c r="F9" i="132"/>
  <c r="E9" i="132"/>
  <c r="D9" i="132"/>
  <c r="C9" i="132"/>
  <c r="H8" i="132"/>
  <c r="G8" i="132"/>
  <c r="F8" i="132"/>
  <c r="E8" i="132"/>
  <c r="D8" i="132"/>
  <c r="C8" i="132"/>
  <c r="H7" i="132"/>
  <c r="G7" i="132"/>
  <c r="F7" i="132"/>
  <c r="E7" i="132"/>
  <c r="E6" i="132" s="1"/>
  <c r="D7" i="132"/>
  <c r="C7" i="132"/>
  <c r="B17" i="132" l="1"/>
  <c r="C6" i="132"/>
  <c r="F6" i="132"/>
  <c r="G6" i="132"/>
  <c r="B9" i="132"/>
  <c r="H6" i="132"/>
  <c r="B8" i="132"/>
  <c r="B7" i="132"/>
  <c r="J25" i="132"/>
  <c r="C34" i="132"/>
  <c r="E34" i="132"/>
  <c r="D35" i="132"/>
  <c r="D6" i="132"/>
  <c r="B7" i="131"/>
  <c r="B8" i="131"/>
  <c r="B6" i="132" l="1"/>
  <c r="J7" i="132" s="1"/>
  <c r="H13" i="131"/>
  <c r="M17" i="131" l="1"/>
  <c r="M19" i="131"/>
  <c r="J22" i="131"/>
  <c r="D34" i="131" l="1"/>
  <c r="B34" i="131"/>
  <c r="B35" i="131" s="1"/>
  <c r="E33" i="131"/>
  <c r="C33" i="131"/>
  <c r="E32" i="131"/>
  <c r="C32" i="131"/>
  <c r="E31" i="131"/>
  <c r="C31" i="131"/>
  <c r="E30" i="131"/>
  <c r="C30" i="131"/>
  <c r="E29" i="131"/>
  <c r="C29" i="131"/>
  <c r="B21" i="131"/>
  <c r="B19" i="131"/>
  <c r="B18" i="131"/>
  <c r="H17" i="131"/>
  <c r="B17" i="131" s="1"/>
  <c r="G17" i="131"/>
  <c r="F17" i="131"/>
  <c r="E17" i="131"/>
  <c r="D17" i="131"/>
  <c r="C17" i="131"/>
  <c r="B14" i="131"/>
  <c r="B13" i="131"/>
  <c r="G12" i="131"/>
  <c r="F12" i="131"/>
  <c r="E12" i="131"/>
  <c r="D12" i="131"/>
  <c r="C12" i="131"/>
  <c r="B11" i="131"/>
  <c r="B10" i="131"/>
  <c r="H9" i="131"/>
  <c r="G9" i="131"/>
  <c r="F9" i="131"/>
  <c r="E9" i="131"/>
  <c r="D9" i="131"/>
  <c r="C9" i="131"/>
  <c r="H8" i="131"/>
  <c r="G8" i="131"/>
  <c r="F8" i="131"/>
  <c r="E8" i="131"/>
  <c r="D8" i="131"/>
  <c r="C8" i="131"/>
  <c r="H7" i="131"/>
  <c r="G7" i="131"/>
  <c r="G6" i="131" s="1"/>
  <c r="F7" i="131"/>
  <c r="E7" i="131"/>
  <c r="D7" i="131"/>
  <c r="C7" i="131"/>
  <c r="B9" i="131" l="1"/>
  <c r="E6" i="131"/>
  <c r="F6" i="131"/>
  <c r="H6" i="131"/>
  <c r="B6" i="131"/>
  <c r="J7" i="131" s="1"/>
  <c r="C6" i="131"/>
  <c r="D6" i="131"/>
  <c r="H12" i="131"/>
  <c r="B12" i="131" s="1"/>
  <c r="D35" i="131"/>
  <c r="C34" i="131"/>
  <c r="E34" i="131"/>
  <c r="J23" i="131"/>
  <c r="J25" i="131" s="1"/>
  <c r="H13" i="130"/>
  <c r="M19" i="130" l="1"/>
  <c r="J19" i="130"/>
  <c r="M17" i="130"/>
  <c r="C29" i="130" l="1"/>
  <c r="C32" i="130"/>
  <c r="J24" i="130"/>
  <c r="D34" i="130" l="1"/>
  <c r="B34" i="130"/>
  <c r="B35" i="130" s="1"/>
  <c r="E33" i="130"/>
  <c r="C33" i="130"/>
  <c r="E32" i="130"/>
  <c r="E31" i="130"/>
  <c r="C31" i="130"/>
  <c r="E30" i="130"/>
  <c r="C30" i="130"/>
  <c r="E29" i="130"/>
  <c r="J22" i="130"/>
  <c r="B21" i="130"/>
  <c r="B19" i="130"/>
  <c r="B18" i="130"/>
  <c r="H17" i="130"/>
  <c r="G17" i="130"/>
  <c r="F17" i="130"/>
  <c r="E17" i="130"/>
  <c r="D17" i="130"/>
  <c r="C17" i="130"/>
  <c r="B14" i="130"/>
  <c r="B13" i="130"/>
  <c r="H12" i="130"/>
  <c r="G12" i="130"/>
  <c r="F12" i="130"/>
  <c r="E12" i="130"/>
  <c r="D12" i="130"/>
  <c r="C12" i="130"/>
  <c r="B11" i="130"/>
  <c r="B10" i="130"/>
  <c r="H9" i="130"/>
  <c r="G9" i="130"/>
  <c r="F9" i="130"/>
  <c r="E9" i="130"/>
  <c r="D9" i="130"/>
  <c r="C9" i="130"/>
  <c r="H8" i="130"/>
  <c r="G8" i="130"/>
  <c r="F8" i="130"/>
  <c r="E8" i="130"/>
  <c r="B8" i="130" s="1"/>
  <c r="D8" i="130"/>
  <c r="C8" i="130"/>
  <c r="H7" i="130"/>
  <c r="G7" i="130"/>
  <c r="G6" i="130" s="1"/>
  <c r="F7" i="130"/>
  <c r="E7" i="130"/>
  <c r="D7" i="130"/>
  <c r="C7" i="130"/>
  <c r="C6" i="130" s="1"/>
  <c r="D6" i="130" l="1"/>
  <c r="H6" i="130"/>
  <c r="B9" i="130"/>
  <c r="B7" i="130"/>
  <c r="B6" i="130" s="1"/>
  <c r="J7" i="130" s="1"/>
  <c r="F6" i="130"/>
  <c r="B12" i="130"/>
  <c r="E6" i="130"/>
  <c r="B17" i="130"/>
  <c r="C34" i="130"/>
  <c r="E34" i="130"/>
  <c r="D35" i="130"/>
  <c r="J23" i="130"/>
  <c r="J25" i="130" s="1"/>
  <c r="H13" i="129"/>
  <c r="J19" i="129"/>
  <c r="C29" i="129" l="1"/>
  <c r="D34" i="129" l="1"/>
  <c r="J23" i="129" s="1"/>
  <c r="B34" i="129"/>
  <c r="B35" i="129" s="1"/>
  <c r="E33" i="129"/>
  <c r="C33" i="129"/>
  <c r="E32" i="129"/>
  <c r="C32" i="129"/>
  <c r="E31" i="129"/>
  <c r="C31" i="129"/>
  <c r="E30" i="129"/>
  <c r="C30" i="129"/>
  <c r="E29" i="129"/>
  <c r="J22" i="129"/>
  <c r="J25" i="129" s="1"/>
  <c r="B21" i="129"/>
  <c r="D35" i="129" s="1"/>
  <c r="B19" i="129"/>
  <c r="B18" i="129"/>
  <c r="H17" i="129"/>
  <c r="G17" i="129"/>
  <c r="F17" i="129"/>
  <c r="E17" i="129"/>
  <c r="D17" i="129"/>
  <c r="C17" i="129"/>
  <c r="B14" i="129"/>
  <c r="B13" i="129"/>
  <c r="G12" i="129"/>
  <c r="F12" i="129"/>
  <c r="E12" i="129"/>
  <c r="D12" i="129"/>
  <c r="C12" i="129"/>
  <c r="B11" i="129"/>
  <c r="B10" i="129"/>
  <c r="H9" i="129"/>
  <c r="G9" i="129"/>
  <c r="F9" i="129"/>
  <c r="E9" i="129"/>
  <c r="D9" i="129"/>
  <c r="C9" i="129"/>
  <c r="H8" i="129"/>
  <c r="G8" i="129"/>
  <c r="G6" i="129" s="1"/>
  <c r="F8" i="129"/>
  <c r="E8" i="129"/>
  <c r="D8" i="129"/>
  <c r="C8" i="129"/>
  <c r="G7" i="129"/>
  <c r="F7" i="129"/>
  <c r="E7" i="129"/>
  <c r="D7" i="129"/>
  <c r="D6" i="129" s="1"/>
  <c r="C7" i="129"/>
  <c r="C6" i="129"/>
  <c r="F6" i="129" l="1"/>
  <c r="B17" i="129"/>
  <c r="M19" i="129" s="1"/>
  <c r="B8" i="129"/>
  <c r="B9" i="129"/>
  <c r="E6" i="129"/>
  <c r="C34" i="129"/>
  <c r="E34" i="129"/>
  <c r="H7" i="129"/>
  <c r="H12" i="129"/>
  <c r="B12" i="129" s="1"/>
  <c r="H13" i="128"/>
  <c r="M17" i="129" l="1"/>
  <c r="H6" i="129"/>
  <c r="B7" i="129"/>
  <c r="B6" i="129" s="1"/>
  <c r="J7" i="129" s="1"/>
  <c r="M19" i="128"/>
  <c r="D34" i="128" l="1"/>
  <c r="J23" i="128" s="1"/>
  <c r="B34" i="128"/>
  <c r="B35" i="128" s="1"/>
  <c r="E33" i="128"/>
  <c r="C33" i="128"/>
  <c r="E32" i="128"/>
  <c r="C32" i="128"/>
  <c r="E31" i="128"/>
  <c r="C31" i="128"/>
  <c r="E30" i="128"/>
  <c r="C30" i="128"/>
  <c r="E29" i="128"/>
  <c r="C29" i="128"/>
  <c r="J22" i="128"/>
  <c r="B21" i="128"/>
  <c r="B19" i="128"/>
  <c r="B18" i="128"/>
  <c r="H17" i="128"/>
  <c r="B17" i="128" s="1"/>
  <c r="G17" i="128"/>
  <c r="F17" i="128"/>
  <c r="E17" i="128"/>
  <c r="D17" i="128"/>
  <c r="C17" i="128"/>
  <c r="B14" i="128"/>
  <c r="B13" i="128"/>
  <c r="G12" i="128"/>
  <c r="F12" i="128"/>
  <c r="E12" i="128"/>
  <c r="D12" i="128"/>
  <c r="C12" i="128"/>
  <c r="B11" i="128"/>
  <c r="B10" i="128"/>
  <c r="H9" i="128"/>
  <c r="G9" i="128"/>
  <c r="F9" i="128"/>
  <c r="E9" i="128"/>
  <c r="D9" i="128"/>
  <c r="C9" i="128"/>
  <c r="B9" i="128" s="1"/>
  <c r="H8" i="128"/>
  <c r="G8" i="128"/>
  <c r="G6" i="128" s="1"/>
  <c r="F8" i="128"/>
  <c r="E8" i="128"/>
  <c r="D8" i="128"/>
  <c r="C8" i="128"/>
  <c r="G7" i="128"/>
  <c r="F7" i="128"/>
  <c r="F6" i="128" s="1"/>
  <c r="E7" i="128"/>
  <c r="E6" i="128" s="1"/>
  <c r="D7" i="128"/>
  <c r="C7" i="128"/>
  <c r="C6" i="128"/>
  <c r="J19" i="128" l="1"/>
  <c r="M17" i="128" s="1"/>
  <c r="B8" i="128"/>
  <c r="J25" i="128"/>
  <c r="C34" i="128"/>
  <c r="E34" i="128"/>
  <c r="D35" i="128"/>
  <c r="D6" i="128"/>
  <c r="H7" i="128"/>
  <c r="H6" i="128" s="1"/>
  <c r="H12" i="128"/>
  <c r="B12" i="128" s="1"/>
  <c r="H13" i="126"/>
  <c r="B7" i="128" l="1"/>
  <c r="B6" i="128" s="1"/>
  <c r="J7" i="128" s="1"/>
  <c r="M19" i="126"/>
  <c r="J19" i="126"/>
  <c r="E6" i="127" l="1"/>
  <c r="F6" i="127"/>
  <c r="C7" i="127"/>
  <c r="C6" i="127" s="1"/>
  <c r="D7" i="127"/>
  <c r="D6" i="127" s="1"/>
  <c r="E7" i="127"/>
  <c r="F7" i="127"/>
  <c r="G7" i="127"/>
  <c r="G6" i="127" s="1"/>
  <c r="C8" i="127"/>
  <c r="B8" i="127" s="1"/>
  <c r="D8" i="127"/>
  <c r="E8" i="127"/>
  <c r="F8" i="127"/>
  <c r="G8" i="127"/>
  <c r="H8" i="127"/>
  <c r="C9" i="127"/>
  <c r="B9" i="127" s="1"/>
  <c r="D9" i="127"/>
  <c r="E9" i="127"/>
  <c r="F9" i="127"/>
  <c r="G9" i="127"/>
  <c r="H9" i="127"/>
  <c r="B10" i="127"/>
  <c r="B11" i="127"/>
  <c r="C12" i="127"/>
  <c r="D12" i="127"/>
  <c r="E12" i="127"/>
  <c r="F12" i="127"/>
  <c r="G12" i="127"/>
  <c r="H13" i="127"/>
  <c r="H7" i="127" s="1"/>
  <c r="H6" i="127" s="1"/>
  <c r="B14" i="127"/>
  <c r="C17" i="127"/>
  <c r="D17" i="127"/>
  <c r="B17" i="127" s="1"/>
  <c r="E17" i="127"/>
  <c r="F17" i="127"/>
  <c r="G17" i="127"/>
  <c r="H17" i="127"/>
  <c r="B18" i="127"/>
  <c r="B19" i="127"/>
  <c r="B21" i="127"/>
  <c r="J22" i="127"/>
  <c r="C29" i="127"/>
  <c r="C34" i="127" s="1"/>
  <c r="E29" i="127"/>
  <c r="C30" i="127"/>
  <c r="E30" i="127"/>
  <c r="E34" i="127" s="1"/>
  <c r="C31" i="127"/>
  <c r="E31" i="127"/>
  <c r="C32" i="127"/>
  <c r="E32" i="127"/>
  <c r="C33" i="127"/>
  <c r="E33" i="127"/>
  <c r="B34" i="127"/>
  <c r="D34" i="127"/>
  <c r="J23" i="127" s="1"/>
  <c r="J25" i="127" s="1"/>
  <c r="B35" i="127"/>
  <c r="D35" i="127"/>
  <c r="J19" i="127" l="1"/>
  <c r="M17" i="127"/>
  <c r="B7" i="127"/>
  <c r="B6" i="127" s="1"/>
  <c r="J7" i="127" s="1"/>
  <c r="B13" i="127"/>
  <c r="H12" i="127"/>
  <c r="B12" i="127" s="1"/>
  <c r="D34" i="126" l="1"/>
  <c r="B34" i="126" l="1"/>
  <c r="B35" i="126" s="1"/>
  <c r="E33" i="126"/>
  <c r="C33" i="126"/>
  <c r="E32" i="126"/>
  <c r="C32" i="126"/>
  <c r="E31" i="126"/>
  <c r="C31" i="126"/>
  <c r="E30" i="126"/>
  <c r="C30" i="126"/>
  <c r="E29" i="126"/>
  <c r="C29" i="126"/>
  <c r="J22" i="126"/>
  <c r="B21" i="126"/>
  <c r="D35" i="126" s="1"/>
  <c r="B19" i="126"/>
  <c r="B18" i="126"/>
  <c r="H17" i="126"/>
  <c r="G17" i="126"/>
  <c r="F17" i="126"/>
  <c r="E17" i="126"/>
  <c r="D17" i="126"/>
  <c r="C17" i="126"/>
  <c r="B14" i="126"/>
  <c r="B13" i="126"/>
  <c r="H12" i="126"/>
  <c r="G12" i="126"/>
  <c r="F12" i="126"/>
  <c r="E12" i="126"/>
  <c r="D12" i="126"/>
  <c r="C12" i="126"/>
  <c r="B11" i="126"/>
  <c r="B10" i="126"/>
  <c r="H9" i="126"/>
  <c r="G9" i="126"/>
  <c r="F9" i="126"/>
  <c r="E9" i="126"/>
  <c r="D9" i="126"/>
  <c r="C9" i="126"/>
  <c r="H8" i="126"/>
  <c r="G8" i="126"/>
  <c r="F8" i="126"/>
  <c r="E8" i="126"/>
  <c r="D8" i="126"/>
  <c r="D6" i="126" s="1"/>
  <c r="C8" i="126"/>
  <c r="H7" i="126"/>
  <c r="G7" i="126"/>
  <c r="F7" i="126"/>
  <c r="F6" i="126" s="1"/>
  <c r="E7" i="126"/>
  <c r="E6" i="126" s="1"/>
  <c r="D7" i="126"/>
  <c r="C7" i="126"/>
  <c r="B17" i="126" l="1"/>
  <c r="G6" i="126"/>
  <c r="B12" i="126"/>
  <c r="C6" i="126"/>
  <c r="H6" i="126"/>
  <c r="B9" i="126"/>
  <c r="B8" i="126"/>
  <c r="B7" i="126"/>
  <c r="B6" i="126" s="1"/>
  <c r="J7" i="126" s="1"/>
  <c r="C34" i="126"/>
  <c r="E34" i="126"/>
  <c r="J23" i="126"/>
  <c r="J25" i="126" s="1"/>
  <c r="H13" i="125"/>
  <c r="C29" i="125" l="1"/>
  <c r="B34" i="125"/>
  <c r="B35" i="125" s="1"/>
  <c r="M17" i="126" l="1"/>
  <c r="J19" i="125"/>
  <c r="D34" i="125" l="1"/>
  <c r="D35" i="125" s="1"/>
  <c r="E33" i="125"/>
  <c r="C33" i="125"/>
  <c r="E32" i="125"/>
  <c r="C32" i="125"/>
  <c r="E31" i="125"/>
  <c r="C31" i="125"/>
  <c r="E30" i="125"/>
  <c r="C30" i="125"/>
  <c r="E29" i="125"/>
  <c r="J22" i="125"/>
  <c r="B21" i="125"/>
  <c r="B19" i="125"/>
  <c r="B18" i="125"/>
  <c r="H17" i="125"/>
  <c r="G17" i="125"/>
  <c r="F17" i="125"/>
  <c r="E17" i="125"/>
  <c r="D17" i="125"/>
  <c r="C17" i="125"/>
  <c r="B14" i="125"/>
  <c r="B13" i="125"/>
  <c r="G12" i="125"/>
  <c r="F12" i="125"/>
  <c r="E12" i="125"/>
  <c r="D12" i="125"/>
  <c r="C12" i="125"/>
  <c r="B11" i="125"/>
  <c r="B10" i="125"/>
  <c r="H9" i="125"/>
  <c r="G9" i="125"/>
  <c r="F9" i="125"/>
  <c r="E9" i="125"/>
  <c r="D9" i="125"/>
  <c r="C9" i="125"/>
  <c r="H8" i="125"/>
  <c r="G8" i="125"/>
  <c r="F8" i="125"/>
  <c r="E8" i="125"/>
  <c r="D8" i="125"/>
  <c r="C8" i="125"/>
  <c r="G7" i="125"/>
  <c r="F7" i="125"/>
  <c r="E7" i="125"/>
  <c r="D7" i="125"/>
  <c r="D6" i="125" s="1"/>
  <c r="C7" i="125"/>
  <c r="C6" i="125" s="1"/>
  <c r="B17" i="125" l="1"/>
  <c r="M17" i="125" s="1"/>
  <c r="B9" i="125"/>
  <c r="G6" i="125"/>
  <c r="B8" i="125"/>
  <c r="F6" i="125"/>
  <c r="E6" i="125"/>
  <c r="C34" i="125"/>
  <c r="E34" i="125"/>
  <c r="H12" i="125"/>
  <c r="B12" i="125" s="1"/>
  <c r="H7" i="125"/>
  <c r="J23" i="125"/>
  <c r="J25" i="125" s="1"/>
  <c r="H8" i="124"/>
  <c r="G8" i="124"/>
  <c r="F8" i="124"/>
  <c r="E8" i="124"/>
  <c r="D8" i="124"/>
  <c r="C8" i="124"/>
  <c r="B8" i="124" s="1"/>
  <c r="H7" i="124"/>
  <c r="G7" i="124"/>
  <c r="F7" i="124"/>
  <c r="E7" i="124"/>
  <c r="D7" i="124"/>
  <c r="C7" i="124"/>
  <c r="B7" i="124" s="1"/>
  <c r="H13" i="124"/>
  <c r="B13" i="124" s="1"/>
  <c r="B14" i="124"/>
  <c r="B11" i="124"/>
  <c r="B10" i="124"/>
  <c r="H6" i="125" l="1"/>
  <c r="B7" i="125"/>
  <c r="B6" i="125" s="1"/>
  <c r="J7" i="125" s="1"/>
  <c r="H12" i="124"/>
  <c r="B12" i="124" s="1"/>
  <c r="B6" i="124"/>
  <c r="J7" i="124" l="1"/>
  <c r="J7" i="123"/>
  <c r="C29" i="124" l="1"/>
  <c r="M17" i="124" l="1"/>
  <c r="J19" i="124"/>
  <c r="J22" i="124" l="1"/>
  <c r="D34" i="124" l="1"/>
  <c r="J23" i="124" s="1"/>
  <c r="J25" i="124" s="1"/>
  <c r="B34" i="124"/>
  <c r="B35" i="124" s="1"/>
  <c r="E33" i="124"/>
  <c r="C33" i="124"/>
  <c r="E32" i="124"/>
  <c r="C32" i="124"/>
  <c r="E31" i="124"/>
  <c r="C31" i="124"/>
  <c r="E30" i="124"/>
  <c r="C30" i="124"/>
  <c r="E29" i="124"/>
  <c r="B21" i="124"/>
  <c r="B19" i="124"/>
  <c r="B18" i="124"/>
  <c r="H17" i="124"/>
  <c r="G17" i="124"/>
  <c r="F17" i="124"/>
  <c r="E17" i="124"/>
  <c r="D17" i="124"/>
  <c r="C17" i="124"/>
  <c r="G12" i="124"/>
  <c r="F12" i="124"/>
  <c r="E12" i="124"/>
  <c r="D12" i="124"/>
  <c r="C12" i="124"/>
  <c r="H9" i="124"/>
  <c r="G9" i="124"/>
  <c r="F9" i="124"/>
  <c r="E9" i="124"/>
  <c r="D9" i="124"/>
  <c r="C9" i="124"/>
  <c r="G6" i="124"/>
  <c r="F6" i="124"/>
  <c r="D6" i="124"/>
  <c r="E6" i="124"/>
  <c r="C6" i="124"/>
  <c r="B9" i="124" l="1"/>
  <c r="B17" i="124"/>
  <c r="C34" i="124"/>
  <c r="E34" i="124"/>
  <c r="D35" i="124"/>
  <c r="H6" i="124"/>
  <c r="H13" i="123"/>
  <c r="B13" i="123"/>
  <c r="B14" i="123"/>
  <c r="S11" i="123"/>
  <c r="R10" i="123"/>
  <c r="R12" i="123" s="1"/>
  <c r="Q10" i="123"/>
  <c r="Q12" i="123" s="1"/>
  <c r="P10" i="123"/>
  <c r="P12" i="123" s="1"/>
  <c r="O10" i="123"/>
  <c r="O12" i="123" s="1"/>
  <c r="N10" i="123"/>
  <c r="N12" i="123" s="1"/>
  <c r="M10" i="123"/>
  <c r="S9" i="123"/>
  <c r="S8" i="123"/>
  <c r="S10" i="123" l="1"/>
  <c r="M12" i="123"/>
  <c r="S12" i="123" s="1"/>
  <c r="J22" i="123" l="1"/>
  <c r="D34" i="123" l="1"/>
  <c r="D35" i="123" s="1"/>
  <c r="B34" i="123"/>
  <c r="B35" i="123" s="1"/>
  <c r="E33" i="123"/>
  <c r="C33" i="123"/>
  <c r="E32" i="123"/>
  <c r="C32" i="123"/>
  <c r="E31" i="123"/>
  <c r="C31" i="123"/>
  <c r="E30" i="123"/>
  <c r="C30" i="123"/>
  <c r="E29" i="123"/>
  <c r="C29" i="123"/>
  <c r="B21" i="123"/>
  <c r="B19" i="123"/>
  <c r="B18" i="123"/>
  <c r="H17" i="123"/>
  <c r="G17" i="123"/>
  <c r="F17" i="123"/>
  <c r="E17" i="123"/>
  <c r="D17" i="123"/>
  <c r="C17" i="123"/>
  <c r="H12" i="123"/>
  <c r="G12" i="123"/>
  <c r="F12" i="123"/>
  <c r="E12" i="123"/>
  <c r="D12" i="123"/>
  <c r="C12" i="123"/>
  <c r="B11" i="123"/>
  <c r="B10" i="123"/>
  <c r="H9" i="123"/>
  <c r="G9" i="123"/>
  <c r="F9" i="123"/>
  <c r="E9" i="123"/>
  <c r="D9" i="123"/>
  <c r="C9" i="123"/>
  <c r="H8" i="123"/>
  <c r="G8" i="123"/>
  <c r="F8" i="123"/>
  <c r="E8" i="123"/>
  <c r="D8" i="123"/>
  <c r="C8" i="123"/>
  <c r="H7" i="123"/>
  <c r="G7" i="123"/>
  <c r="F7" i="123"/>
  <c r="E7" i="123"/>
  <c r="D7" i="123"/>
  <c r="C7" i="123"/>
  <c r="B9" i="123" l="1"/>
  <c r="H6" i="123"/>
  <c r="F6" i="123"/>
  <c r="G6" i="123"/>
  <c r="J23" i="123"/>
  <c r="C34" i="123"/>
  <c r="E34" i="123"/>
  <c r="J25" i="123"/>
  <c r="B17" i="123"/>
  <c r="D6" i="123"/>
  <c r="B12" i="123"/>
  <c r="C6" i="123"/>
  <c r="E6" i="123"/>
  <c r="B8" i="123"/>
  <c r="B7" i="123"/>
  <c r="B6" i="123" s="1"/>
  <c r="J22" i="122"/>
  <c r="J19" i="123" l="1"/>
  <c r="M17" i="123"/>
  <c r="B19" i="122"/>
  <c r="B18" i="122"/>
  <c r="H13" i="122"/>
  <c r="J22" i="120"/>
  <c r="H21" i="121"/>
  <c r="B16" i="121"/>
  <c r="B21" i="121" s="1"/>
  <c r="J22" i="121" s="1"/>
  <c r="B17" i="121"/>
  <c r="B11" i="122"/>
  <c r="B10" i="122"/>
  <c r="D7" i="122" l="1"/>
  <c r="C8" i="122"/>
  <c r="C7" i="122"/>
  <c r="H7" i="122"/>
  <c r="H8" i="122"/>
  <c r="E7" i="122"/>
  <c r="F7" i="122"/>
  <c r="F6" i="122" s="1"/>
  <c r="G7" i="122"/>
  <c r="G6" i="122" s="1"/>
  <c r="D8" i="122"/>
  <c r="E8" i="122"/>
  <c r="B8" i="122" s="1"/>
  <c r="F8" i="122"/>
  <c r="G8" i="122"/>
  <c r="C6" i="122" l="1"/>
  <c r="D6" i="122"/>
  <c r="E6" i="122"/>
  <c r="H6" i="122"/>
  <c r="B7" i="122"/>
  <c r="B6" i="122" s="1"/>
  <c r="J7" i="122" s="1"/>
  <c r="H17" i="122" l="1"/>
  <c r="G17" i="122"/>
  <c r="F17" i="122"/>
  <c r="E17" i="122"/>
  <c r="D17" i="122"/>
  <c r="C17" i="122"/>
  <c r="B17" i="122" l="1"/>
  <c r="J19" i="122" s="1"/>
  <c r="C29" i="122"/>
  <c r="E29" i="122"/>
  <c r="F29" i="122" l="1"/>
  <c r="F30" i="122" s="1"/>
  <c r="C12" i="122" l="1"/>
  <c r="C9" i="122"/>
  <c r="D34" i="122" l="1"/>
  <c r="J23" i="122" s="1"/>
  <c r="B34" i="122"/>
  <c r="B35" i="122" s="1"/>
  <c r="E33" i="122"/>
  <c r="C33" i="122"/>
  <c r="E32" i="122"/>
  <c r="C32" i="122"/>
  <c r="E31" i="122"/>
  <c r="C31" i="122"/>
  <c r="E30" i="122"/>
  <c r="C30" i="122"/>
  <c r="B21" i="122"/>
  <c r="B14" i="122"/>
  <c r="B13" i="122"/>
  <c r="G12" i="122"/>
  <c r="F12" i="122"/>
  <c r="E12" i="122"/>
  <c r="D12" i="122"/>
  <c r="H9" i="122"/>
  <c r="G9" i="122"/>
  <c r="F9" i="122"/>
  <c r="E9" i="122"/>
  <c r="D9" i="122"/>
  <c r="J25" i="122" l="1"/>
  <c r="C34" i="122"/>
  <c r="B9" i="122"/>
  <c r="D35" i="122"/>
  <c r="E34" i="122"/>
  <c r="H12" i="122"/>
  <c r="B44" i="121"/>
  <c r="B45" i="121" s="1"/>
  <c r="B39" i="121"/>
  <c r="C39" i="121"/>
  <c r="J32" i="121"/>
  <c r="B12" i="122" l="1"/>
  <c r="J28" i="120"/>
  <c r="B26" i="121"/>
  <c r="B27" i="121"/>
  <c r="B28" i="121"/>
  <c r="B29" i="121"/>
  <c r="H17" i="121" l="1"/>
  <c r="D44" i="121" l="1"/>
  <c r="D45" i="121" s="1"/>
  <c r="E43" i="121"/>
  <c r="C43" i="121"/>
  <c r="E42" i="121"/>
  <c r="C42" i="121"/>
  <c r="E41" i="121"/>
  <c r="C41" i="121"/>
  <c r="E40" i="121"/>
  <c r="C40" i="121"/>
  <c r="E39" i="121"/>
  <c r="B31" i="121"/>
  <c r="H25" i="121"/>
  <c r="G25" i="121"/>
  <c r="F25" i="121"/>
  <c r="E25" i="121"/>
  <c r="D25" i="121"/>
  <c r="C25" i="121"/>
  <c r="B25" i="121"/>
  <c r="J28" i="121" s="1"/>
  <c r="B20" i="121"/>
  <c r="B19" i="121"/>
  <c r="B18" i="121"/>
  <c r="H16" i="121"/>
  <c r="G16" i="121"/>
  <c r="F16" i="121"/>
  <c r="E16" i="121"/>
  <c r="D16" i="121"/>
  <c r="C16" i="121"/>
  <c r="B15" i="121"/>
  <c r="B14" i="121"/>
  <c r="B13" i="121"/>
  <c r="B12" i="121"/>
  <c r="H11" i="121"/>
  <c r="G11" i="121"/>
  <c r="F11" i="121"/>
  <c r="E11" i="121"/>
  <c r="D11" i="121"/>
  <c r="C11" i="121"/>
  <c r="B11" i="121" s="1"/>
  <c r="B10" i="121"/>
  <c r="B9" i="121"/>
  <c r="B8" i="121"/>
  <c r="B7" i="121"/>
  <c r="H6" i="121"/>
  <c r="G6" i="121"/>
  <c r="F6" i="121"/>
  <c r="F21" i="121" s="1"/>
  <c r="E6" i="121"/>
  <c r="E21" i="121" s="1"/>
  <c r="D6" i="121"/>
  <c r="C6" i="121"/>
  <c r="C44" i="121" l="1"/>
  <c r="E44" i="121"/>
  <c r="G21" i="121"/>
  <c r="C21" i="121"/>
  <c r="B6" i="121"/>
  <c r="D21" i="121"/>
  <c r="J33" i="121"/>
  <c r="J35" i="121" s="1"/>
  <c r="H17" i="120"/>
  <c r="C39" i="120" l="1"/>
  <c r="B31" i="120"/>
  <c r="D44" i="120" l="1"/>
  <c r="D45" i="120" s="1"/>
  <c r="B44" i="120"/>
  <c r="B45" i="120" s="1"/>
  <c r="E43" i="120"/>
  <c r="C43" i="120"/>
  <c r="E42" i="120"/>
  <c r="C42" i="120"/>
  <c r="E41" i="120"/>
  <c r="C41" i="120"/>
  <c r="E40" i="120"/>
  <c r="C40" i="120"/>
  <c r="E39" i="120"/>
  <c r="J32" i="120"/>
  <c r="B29" i="120"/>
  <c r="B28" i="120"/>
  <c r="B27" i="120"/>
  <c r="B26" i="120"/>
  <c r="H25" i="120"/>
  <c r="G25" i="120"/>
  <c r="F25" i="120"/>
  <c r="E25" i="120"/>
  <c r="D25" i="120"/>
  <c r="C25" i="120"/>
  <c r="B20" i="120"/>
  <c r="B19" i="120"/>
  <c r="B18" i="120"/>
  <c r="B17" i="120"/>
  <c r="H16" i="120"/>
  <c r="G16" i="120"/>
  <c r="F16" i="120"/>
  <c r="E16" i="120"/>
  <c r="D16" i="120"/>
  <c r="C16" i="120"/>
  <c r="B15" i="120"/>
  <c r="B14" i="120"/>
  <c r="B13" i="120"/>
  <c r="B12" i="120"/>
  <c r="H11" i="120"/>
  <c r="G11" i="120"/>
  <c r="F11" i="120"/>
  <c r="E11" i="120"/>
  <c r="D11" i="120"/>
  <c r="C11" i="120"/>
  <c r="B10" i="120"/>
  <c r="B9" i="120"/>
  <c r="B8" i="120"/>
  <c r="B7" i="120"/>
  <c r="H6" i="120"/>
  <c r="G6" i="120"/>
  <c r="F6" i="120"/>
  <c r="E6" i="120"/>
  <c r="D6" i="120"/>
  <c r="C6" i="120"/>
  <c r="E44" i="120" l="1"/>
  <c r="G21" i="120"/>
  <c r="B16" i="120"/>
  <c r="C44" i="120"/>
  <c r="J33" i="120"/>
  <c r="J35" i="120" s="1"/>
  <c r="B25" i="120"/>
  <c r="C21" i="120"/>
  <c r="D21" i="120"/>
  <c r="E21" i="120"/>
  <c r="B11" i="120"/>
  <c r="F21" i="120"/>
  <c r="H21" i="120"/>
  <c r="B6" i="120"/>
  <c r="B21" i="120" s="1"/>
</calcChain>
</file>

<file path=xl/sharedStrings.xml><?xml version="1.0" encoding="utf-8"?>
<sst xmlns="http://schemas.openxmlformats.org/spreadsheetml/2006/main" count="1329" uniqueCount="61">
  <si>
    <t>Тарифная группа</t>
  </si>
  <si>
    <t>Всего</t>
  </si>
  <si>
    <t>Бюджетные потребители, в т.ч</t>
  </si>
  <si>
    <t>Население, в т.ч.</t>
  </si>
  <si>
    <t>Прочие, в т.ч.</t>
  </si>
  <si>
    <t>Всего полезный отпуск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</si>
  <si>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</si>
  <si>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</si>
  <si>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</si>
  <si>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</si>
  <si>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</si>
  <si>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Сверхнормативный ОДН</t>
  </si>
  <si>
    <t>по сетям АО "ТСК"</t>
  </si>
  <si>
    <t>ФСК (Федеральная сетевая компания)</t>
  </si>
  <si>
    <t>по сетям АО "ОРЭС - Тамбов"</t>
  </si>
  <si>
    <t>Полезный отпуск мощности (сетевая), МВт. в т.ч.:</t>
  </si>
  <si>
    <t>Объем покупки электроэнергии у гарантирующего поставщика для целей компенсации потерь в электрических сетях, в т.ч.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</si>
  <si>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</si>
  <si>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</si>
  <si>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</si>
  <si>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</si>
  <si>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</si>
  <si>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</si>
  <si>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</si>
  <si>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</si>
  <si>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</si>
  <si>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</si>
  <si>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</si>
  <si>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ПАО "ФСК ЕЭС"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</si>
  <si>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</si>
  <si>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 - ЮВЖД</t>
  </si>
  <si>
    <t>по сетям Юго-Восточной дирекции по энергообеспечению - Трансэнерго - филиала ОАО "РЖД" - КЖД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</si>
  <si>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</si>
  <si>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</si>
  <si>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СН1
(первое среднее напряжение 35 кВ)</t>
  </si>
  <si>
    <t>СН2
(второе среднее напряжение 20-1 кВ)</t>
  </si>
  <si>
    <t>ВН
(высокое напряжение
110 кВ и выше)</t>
  </si>
  <si>
    <t>НН
(низкое напряжение
0,4 кВ и ниже)</t>
  </si>
  <si>
    <t>баланс</t>
  </si>
  <si>
    <t>са</t>
  </si>
  <si>
    <t>к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</si>
  <si>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</si>
  <si>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</si>
  <si>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</si>
  <si>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</si>
  <si>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</si>
  <si>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</si>
  <si>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</si>
  <si>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</si>
  <si>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</si>
  <si>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</si>
  <si>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</si>
  <si>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</si>
  <si>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</si>
  <si>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</si>
  <si>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</si>
  <si>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ширшов (16122 эо4)</t>
  </si>
  <si>
    <t>кулагин</t>
  </si>
  <si>
    <t>16122(ЭО4)</t>
  </si>
  <si>
    <t>60081 (покупка у ГТ-Энерго от Кулагина)</t>
  </si>
  <si>
    <t>са-60081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</si>
</sst>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0.00000000"/>
    <numFmt numFmtId="199" formatCode="#,##0.0000000000"/>
    <numFmt numFmtId="200" formatCode="#,##0.0000000000000000"/>
  </numFmts>
  <fonts count="1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Arial Cyr"/>
      <charset val="204"/>
    </font>
    <font>
      <b/>
      <sz val="10"/>
      <color rgb="FF00B050"/>
      <name val="Arial Cyr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3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0" fontId="34" fillId="0" borderId="1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171" fontId="36" fillId="5" borderId="2">
      <alignment horizontal="center" vertical="center"/>
      <protection locked="0"/>
    </xf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172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2" fontId="4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7" fillId="0" borderId="0"/>
    <xf numFmtId="166" fontId="47" fillId="10" borderId="5">
      <alignment horizontal="center" vertical="center" wrapText="1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50" fillId="11" borderId="5">
      <alignment horizontal="left" vertical="center" wrapText="1"/>
    </xf>
    <xf numFmtId="180" fontId="47" fillId="0" borderId="6">
      <alignment horizontal="right" vertical="center" wrapText="1"/>
    </xf>
    <xf numFmtId="0" fontId="51" fillId="12" borderId="0"/>
    <xf numFmtId="181" fontId="24" fillId="13" borderId="6">
      <alignment vertical="center"/>
    </xf>
    <xf numFmtId="168" fontId="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4" fillId="0" borderId="0"/>
    <xf numFmtId="0" fontId="52" fillId="0" borderId="0"/>
    <xf numFmtId="0" fontId="32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4" fillId="0" borderId="0"/>
    <xf numFmtId="0" fontId="4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0" applyNumberFormat="0">
      <alignment horizontal="left"/>
    </xf>
    <xf numFmtId="0" fontId="24" fillId="12" borderId="7" applyNumberFormat="0" applyFont="0" applyFill="0" applyBorder="0" applyAlignment="0" applyProtection="0"/>
    <xf numFmtId="0" fontId="24" fillId="12" borderId="7" applyNumberFormat="0" applyFont="0" applyFill="0" applyBorder="0" applyAlignment="0" applyProtection="0"/>
    <xf numFmtId="0" fontId="53" fillId="0" borderId="0"/>
    <xf numFmtId="181" fontId="55" fillId="13" borderId="6">
      <alignment horizontal="center" vertical="center" wrapText="1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14" borderId="0"/>
    <xf numFmtId="0" fontId="24" fillId="12" borderId="0">
      <alignment horizontal="center" vertical="center"/>
    </xf>
    <xf numFmtId="0" fontId="24" fillId="12" borderId="0">
      <alignment horizontal="center" vertical="center"/>
    </xf>
    <xf numFmtId="166" fontId="56" fillId="10" borderId="5" applyFont="0" applyAlignment="0" applyProtection="0"/>
    <xf numFmtId="0" fontId="57" fillId="11" borderId="5">
      <alignment horizontal="left" vertical="center" wrapText="1"/>
    </xf>
    <xf numFmtId="184" fontId="58" fillId="0" borderId="5">
      <alignment horizontal="center" vertical="center" wrapText="1"/>
    </xf>
    <xf numFmtId="185" fontId="58" fillId="10" borderId="5">
      <alignment horizontal="center" vertical="center" wrapText="1"/>
      <protection locked="0"/>
    </xf>
    <xf numFmtId="0" fontId="24" fillId="12" borderId="0"/>
    <xf numFmtId="0" fontId="24" fillId="12" borderId="0"/>
    <xf numFmtId="0" fontId="40" fillId="0" borderId="8" applyNumberFormat="0" applyFont="0" applyFill="0" applyAlignment="0" applyProtection="0"/>
    <xf numFmtId="181" fontId="59" fillId="15" borderId="9">
      <alignment horizontal="center" vertical="center"/>
    </xf>
    <xf numFmtId="0" fontId="6" fillId="0" borderId="0"/>
    <xf numFmtId="0" fontId="6" fillId="0" borderId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16" borderId="6" applyNumberFormat="0" applyFill="0" applyBorder="0" applyProtection="0">
      <alignment vertical="center"/>
      <protection locked="0"/>
    </xf>
    <xf numFmtId="181" fontId="24" fillId="16" borderId="6" applyNumberFormat="0" applyFill="0" applyBorder="0" applyProtection="0">
      <alignment vertical="center"/>
      <protection locked="0"/>
    </xf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0" fontId="70" fillId="50" borderId="21" applyNumberFormat="0" applyAlignment="0" applyProtection="0"/>
    <xf numFmtId="0" fontId="71" fillId="51" borderId="22" applyNumberFormat="0" applyAlignment="0" applyProtection="0"/>
    <xf numFmtId="0" fontId="72" fillId="51" borderId="21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4" fillId="0" borderId="0"/>
    <xf numFmtId="0" fontId="24" fillId="0" borderId="0"/>
    <xf numFmtId="0" fontId="12" fillId="4" borderId="11" applyNumberFormat="0" applyAlignment="0" applyProtection="0"/>
    <xf numFmtId="0" fontId="13" fillId="19" borderId="12" applyNumberFormat="0" applyAlignment="0" applyProtection="0"/>
    <xf numFmtId="0" fontId="25" fillId="0" borderId="0"/>
    <xf numFmtId="0" fontId="26" fillId="17" borderId="0" applyNumberFormat="0" applyBorder="0" applyAlignment="0" applyProtection="0"/>
    <xf numFmtId="0" fontId="23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19" borderId="11" applyNumberFormat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8" fillId="21" borderId="14" applyNumberFormat="0" applyAlignment="0" applyProtection="0"/>
    <xf numFmtId="0" fontId="2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62" fillId="0" borderId="0">
      <alignment vertical="top"/>
    </xf>
    <xf numFmtId="0" fontId="29" fillId="0" borderId="17" applyBorder="0">
      <alignment horizontal="center" vertical="center" wrapText="1"/>
    </xf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4" fontId="30" fillId="23" borderId="6" applyBorder="0">
      <alignment horizontal="right"/>
    </xf>
    <xf numFmtId="0" fontId="76" fillId="0" borderId="26" applyNumberFormat="0" applyFill="0" applyAlignment="0" applyProtection="0"/>
    <xf numFmtId="0" fontId="77" fillId="52" borderId="27" applyNumberFormat="0" applyAlignment="0" applyProtection="0"/>
    <xf numFmtId="0" fontId="78" fillId="0" borderId="0" applyNumberFormat="0" applyFill="0" applyBorder="0" applyAlignment="0" applyProtection="0"/>
    <xf numFmtId="0" fontId="79" fillId="53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189" fontId="33" fillId="0" borderId="0"/>
    <xf numFmtId="179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80" fillId="0" borderId="0"/>
    <xf numFmtId="0" fontId="56" fillId="0" borderId="0">
      <alignment horizontal="left"/>
    </xf>
    <xf numFmtId="0" fontId="4" fillId="0" borderId="0"/>
    <xf numFmtId="0" fontId="4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4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1" fillId="54" borderId="0" applyNumberFormat="0" applyBorder="0" applyAlignment="0" applyProtection="0"/>
    <xf numFmtId="0" fontId="82" fillId="0" borderId="0" applyNumberFormat="0" applyFill="0" applyBorder="0" applyAlignment="0" applyProtection="0"/>
    <xf numFmtId="0" fontId="68" fillId="55" borderId="28" applyNumberFormat="0" applyFont="0" applyAlignment="0" applyProtection="0"/>
    <xf numFmtId="0" fontId="4" fillId="24" borderId="19" applyNumberFormat="0" applyFont="0" applyAlignment="0" applyProtection="0"/>
    <xf numFmtId="0" fontId="83" fillId="0" borderId="29" applyNumberFormat="0" applyFill="0" applyAlignment="0" applyProtection="0"/>
    <xf numFmtId="0" fontId="25" fillId="0" borderId="0"/>
    <xf numFmtId="0" fontId="3" fillId="18" borderId="0" applyNumberFormat="0" applyBorder="0" applyAlignment="0" applyProtection="0"/>
    <xf numFmtId="0" fontId="26" fillId="4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5" fillId="0" borderId="0"/>
    <xf numFmtId="0" fontId="3" fillId="3" borderId="0" applyNumberFormat="0" applyBorder="0" applyAlignment="0" applyProtection="0"/>
    <xf numFmtId="0" fontId="2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6" fillId="7" borderId="0" applyNumberFormat="0" applyBorder="0" applyAlignment="0" applyProtection="0"/>
    <xf numFmtId="0" fontId="3" fillId="19" borderId="0" applyNumberFormat="0" applyBorder="0" applyAlignment="0" applyProtection="0"/>
    <xf numFmtId="0" fontId="26" fillId="18" borderId="0" applyNumberFormat="0" applyBorder="0" applyAlignment="0" applyProtection="0"/>
    <xf numFmtId="0" fontId="84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30" fillId="25" borderId="0" applyFont="0" applyBorder="0">
      <alignment horizontal="right"/>
    </xf>
    <xf numFmtId="0" fontId="85" fillId="56" borderId="0" applyNumberFormat="0" applyBorder="0" applyAlignment="0" applyProtection="0"/>
    <xf numFmtId="0" fontId="17" fillId="0" borderId="18" applyNumberFormat="0" applyFill="0" applyAlignment="0" applyProtection="0"/>
    <xf numFmtId="0" fontId="12" fillId="4" borderId="11" applyNumberFormat="0" applyAlignment="0" applyProtection="0"/>
    <xf numFmtId="0" fontId="11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6" fillId="0" borderId="16" applyNumberFormat="0" applyFill="0" applyAlignment="0" applyProtection="0"/>
    <xf numFmtId="0" fontId="3" fillId="8" borderId="0" applyNumberFormat="0" applyBorder="0" applyAlignment="0" applyProtection="0"/>
    <xf numFmtId="0" fontId="21" fillId="0" borderId="13" applyNumberFormat="0" applyFill="0" applyAlignment="0" applyProtection="0"/>
    <xf numFmtId="0" fontId="86" fillId="58" borderId="0" applyNumberFormat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" fillId="6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5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59" borderId="0" applyNumberFormat="0" applyBorder="0" applyAlignment="0" applyProtection="0"/>
    <xf numFmtId="0" fontId="4" fillId="24" borderId="19" applyNumberFormat="0" applyFont="0" applyAlignment="0" applyProtection="0"/>
    <xf numFmtId="0" fontId="87" fillId="60" borderId="0" applyNumberFormat="0" applyBorder="0" applyAlignment="0" applyProtection="0"/>
    <xf numFmtId="0" fontId="65" fillId="61" borderId="0" applyNumberFormat="0" applyBorder="0" applyAlignment="0" applyProtection="0"/>
    <xf numFmtId="0" fontId="65" fillId="60" borderId="0" applyNumberFormat="0" applyBorder="0" applyAlignment="0" applyProtection="0"/>
    <xf numFmtId="0" fontId="65" fillId="2" borderId="0" applyNumberFormat="0" applyBorder="0" applyAlignment="0" applyProtection="0"/>
    <xf numFmtId="0" fontId="65" fillId="6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63" borderId="0" applyNumberFormat="0" applyBorder="0" applyAlignment="0" applyProtection="0"/>
    <xf numFmtId="0" fontId="65" fillId="62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88" fillId="64" borderId="0" applyNumberFormat="0" applyBorder="0" applyAlignment="0" applyProtection="0"/>
    <xf numFmtId="0" fontId="88" fillId="7" borderId="0" applyNumberFormat="0" applyBorder="0" applyAlignment="0" applyProtection="0"/>
    <xf numFmtId="0" fontId="88" fillId="63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59" borderId="0" applyNumberFormat="0" applyBorder="0" applyAlignment="0" applyProtection="0"/>
    <xf numFmtId="0" fontId="88" fillId="66" borderId="0" applyNumberFormat="0" applyBorder="0" applyAlignment="0" applyProtection="0"/>
    <xf numFmtId="0" fontId="88" fillId="17" borderId="0" applyNumberFormat="0" applyBorder="0" applyAlignment="0" applyProtection="0"/>
    <xf numFmtId="0" fontId="88" fillId="67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68" borderId="0" applyNumberFormat="0" applyBorder="0" applyAlignment="0" applyProtection="0"/>
    <xf numFmtId="0" fontId="89" fillId="4" borderId="11" applyNumberFormat="0" applyAlignment="0" applyProtection="0"/>
    <xf numFmtId="0" fontId="90" fillId="18" borderId="12" applyNumberFormat="0" applyAlignment="0" applyProtection="0"/>
    <xf numFmtId="0" fontId="91" fillId="18" borderId="11" applyNumberFormat="0" applyAlignment="0" applyProtection="0"/>
    <xf numFmtId="0" fontId="92" fillId="0" borderId="15" applyNumberFormat="0" applyFill="0" applyAlignment="0" applyProtection="0"/>
    <xf numFmtId="0" fontId="93" fillId="0" borderId="30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18" applyNumberFormat="0" applyFill="0" applyAlignment="0" applyProtection="0"/>
    <xf numFmtId="0" fontId="96" fillId="21" borderId="14" applyNumberFormat="0" applyAlignment="0" applyProtection="0"/>
    <xf numFmtId="0" fontId="97" fillId="0" borderId="0" applyNumberFormat="0" applyFill="0" applyBorder="0" applyAlignment="0" applyProtection="0"/>
    <xf numFmtId="0" fontId="98" fillId="20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65" fillId="0" borderId="0"/>
    <xf numFmtId="0" fontId="4" fillId="0" borderId="0" applyFont="0" applyBorder="0" applyAlignment="0"/>
    <xf numFmtId="0" fontId="24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2" fillId="0" borderId="0"/>
    <xf numFmtId="0" fontId="24" fillId="0" borderId="0"/>
    <xf numFmtId="0" fontId="24" fillId="0" borderId="0"/>
    <xf numFmtId="0" fontId="99" fillId="60" borderId="0" applyNumberFormat="0" applyBorder="0" applyAlignment="0" applyProtection="0"/>
    <xf numFmtId="0" fontId="100" fillId="0" borderId="0" applyNumberFormat="0" applyFill="0" applyBorder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101" fillId="0" borderId="13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 applyNumberFormat="0" applyBorder="0" applyAlignment="0" applyProtection="0"/>
    <xf numFmtId="0" fontId="17" fillId="0" borderId="18" applyNumberFormat="0" applyFill="0" applyAlignment="0" applyProtection="0"/>
    <xf numFmtId="0" fontId="87" fillId="60" borderId="0" applyNumberFormat="0" applyBorder="0" applyAlignment="0" applyProtection="0"/>
    <xf numFmtId="0" fontId="12" fillId="4" borderId="11" applyNumberFormat="0" applyAlignment="0" applyProtection="0"/>
    <xf numFmtId="0" fontId="20" fillId="0" borderId="0" applyNumberFormat="0" applyFill="0" applyBorder="0" applyAlignment="0" applyProtection="0"/>
    <xf numFmtId="0" fontId="11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17" borderId="0" applyNumberFormat="0" applyBorder="0" applyAlignment="0" applyProtection="0"/>
    <xf numFmtId="0" fontId="15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" fillId="55" borderId="28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80" fillId="0" borderId="0"/>
    <xf numFmtId="0" fontId="4" fillId="57" borderId="0" applyNumberFormat="0" applyFont="0" applyAlignment="0" applyProtection="0"/>
    <xf numFmtId="0" fontId="24" fillId="0" borderId="0"/>
  </cellStyleXfs>
  <cellXfs count="229"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3" fontId="0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 wrapText="1"/>
    </xf>
    <xf numFmtId="3" fontId="10" fillId="0" borderId="38" xfId="0" applyNumberFormat="1" applyFont="1" applyFill="1" applyBorder="1" applyAlignment="1">
      <alignment horizontal="center" wrapText="1"/>
    </xf>
    <xf numFmtId="0" fontId="106" fillId="0" borderId="0" xfId="712" applyFont="1" applyAlignment="1">
      <alignment horizontal="center"/>
    </xf>
    <xf numFmtId="0" fontId="106" fillId="0" borderId="6" xfId="712" applyFont="1" applyBorder="1"/>
    <xf numFmtId="3" fontId="108" fillId="69" borderId="40" xfId="712" applyNumberFormat="1" applyFont="1" applyFill="1" applyBorder="1" applyAlignment="1">
      <alignment horizontal="center" vertical="center" wrapText="1"/>
    </xf>
    <xf numFmtId="3" fontId="108" fillId="0" borderId="40" xfId="712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Font="1" applyFill="1" applyBorder="1" applyAlignment="1">
      <alignment horizontal="center"/>
    </xf>
    <xf numFmtId="3" fontId="0" fillId="0" borderId="39" xfId="0" applyNumberFormat="1" applyFont="1" applyFill="1" applyBorder="1" applyAlignment="1">
      <alignment horizontal="center"/>
    </xf>
    <xf numFmtId="3" fontId="0" fillId="0" borderId="33" xfId="0" applyNumberFormat="1" applyFont="1" applyFill="1" applyBorder="1" applyAlignment="1">
      <alignment horizontal="center"/>
    </xf>
    <xf numFmtId="3" fontId="0" fillId="0" borderId="35" xfId="0" applyNumberFormat="1" applyFont="1" applyFill="1" applyBorder="1" applyAlignment="1">
      <alignment horizontal="center"/>
    </xf>
    <xf numFmtId="191" fontId="4" fillId="0" borderId="0" xfId="0" applyNumberFormat="1" applyFont="1" applyAlignment="1">
      <alignment horizontal="center"/>
    </xf>
    <xf numFmtId="192" fontId="4" fillId="0" borderId="0" xfId="0" applyNumberFormat="1" applyFont="1" applyAlignment="1">
      <alignment horizontal="center"/>
    </xf>
    <xf numFmtId="17" fontId="8" fillId="0" borderId="20" xfId="0" applyNumberFormat="1" applyFont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vertical="center" wrapText="1"/>
    </xf>
    <xf numFmtId="191" fontId="7" fillId="0" borderId="6" xfId="0" applyNumberFormat="1" applyFont="1" applyFill="1" applyBorder="1" applyAlignment="1">
      <alignment horizontal="center" vertical="center"/>
    </xf>
    <xf numFmtId="191" fontId="7" fillId="0" borderId="34" xfId="0" applyNumberFormat="1" applyFont="1" applyFill="1" applyBorder="1" applyAlignment="1">
      <alignment horizontal="center" vertical="center"/>
    </xf>
    <xf numFmtId="192" fontId="7" fillId="0" borderId="33" xfId="0" applyNumberFormat="1" applyFont="1" applyFill="1" applyBorder="1" applyAlignment="1">
      <alignment horizontal="center" vertical="center"/>
    </xf>
    <xf numFmtId="192" fontId="7" fillId="0" borderId="35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/>
    </xf>
    <xf numFmtId="192" fontId="0" fillId="0" borderId="39" xfId="0" applyNumberFormat="1" applyFont="1" applyFill="1" applyBorder="1" applyAlignment="1">
      <alignment horizontal="center" vertical="center"/>
    </xf>
    <xf numFmtId="17" fontId="9" fillId="0" borderId="36" xfId="0" applyNumberFormat="1" applyFont="1" applyBorder="1" applyAlignment="1">
      <alignment horizontal="left" vertical="center" wrapText="1"/>
    </xf>
    <xf numFmtId="17" fontId="9" fillId="0" borderId="36" xfId="0" applyNumberFormat="1" applyFont="1" applyFill="1" applyBorder="1" applyAlignment="1">
      <alignment horizontal="left" vertical="center"/>
    </xf>
    <xf numFmtId="17" fontId="9" fillId="0" borderId="36" xfId="0" applyNumberFormat="1" applyFont="1" applyBorder="1" applyAlignment="1">
      <alignment horizontal="left" vertical="center"/>
    </xf>
    <xf numFmtId="191" fontId="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91" fontId="0" fillId="0" borderId="38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191" fontId="1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 wrapText="1"/>
    </xf>
    <xf numFmtId="17" fontId="8" fillId="0" borderId="36" xfId="0" applyNumberFormat="1" applyFont="1" applyBorder="1" applyAlignment="1">
      <alignment horizontal="center" vertical="center" wrapText="1"/>
    </xf>
    <xf numFmtId="17" fontId="9" fillId="0" borderId="36" xfId="0" applyNumberFormat="1" applyFont="1" applyBorder="1" applyAlignment="1">
      <alignment horizontal="right" vertical="center"/>
    </xf>
    <xf numFmtId="17" fontId="8" fillId="0" borderId="36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right" vertical="center" wrapText="1"/>
    </xf>
    <xf numFmtId="17" fontId="8" fillId="0" borderId="41" xfId="0" applyNumberFormat="1" applyFont="1" applyBorder="1" applyAlignment="1">
      <alignment horizontal="center" vertical="center"/>
    </xf>
    <xf numFmtId="17" fontId="104" fillId="0" borderId="36" xfId="0" applyNumberFormat="1" applyFont="1" applyBorder="1" applyAlignment="1">
      <alignment horizontal="right" vertical="center" wrapText="1"/>
    </xf>
    <xf numFmtId="192" fontId="0" fillId="0" borderId="34" xfId="0" applyNumberFormat="1" applyFont="1" applyFill="1" applyBorder="1" applyAlignment="1">
      <alignment horizontal="center" vertical="center"/>
    </xf>
    <xf numFmtId="0" fontId="4" fillId="0" borderId="41" xfId="0" applyFont="1" applyBorder="1"/>
    <xf numFmtId="17" fontId="9" fillId="0" borderId="37" xfId="0" applyNumberFormat="1" applyFont="1" applyBorder="1" applyAlignment="1">
      <alignment horizontal="right" vertical="center" wrapText="1"/>
    </xf>
    <xf numFmtId="17" fontId="7" fillId="0" borderId="37" xfId="0" applyNumberFormat="1" applyFont="1" applyBorder="1" applyAlignment="1">
      <alignment horizontal="center" vertical="center"/>
    </xf>
    <xf numFmtId="0" fontId="107" fillId="69" borderId="6" xfId="712" applyFont="1" applyFill="1" applyBorder="1" applyAlignment="1">
      <alignment horizontal="center" vertical="center"/>
    </xf>
    <xf numFmtId="3" fontId="108" fillId="69" borderId="6" xfId="712" applyNumberFormat="1" applyFont="1" applyFill="1" applyBorder="1" applyAlignment="1">
      <alignment horizontal="center" vertical="center"/>
    </xf>
    <xf numFmtId="3" fontId="109" fillId="69" borderId="6" xfId="712" applyNumberFormat="1" applyFont="1" applyFill="1" applyBorder="1" applyAlignment="1">
      <alignment horizontal="center" vertical="center"/>
    </xf>
    <xf numFmtId="3" fontId="108" fillId="0" borderId="6" xfId="712" applyNumberFormat="1" applyFont="1" applyFill="1" applyBorder="1" applyAlignment="1">
      <alignment horizontal="center" vertical="center"/>
    </xf>
    <xf numFmtId="3" fontId="110" fillId="70" borderId="6" xfId="712" applyNumberFormat="1" applyFont="1" applyFill="1" applyBorder="1" applyAlignment="1">
      <alignment horizontal="center" vertical="center"/>
    </xf>
    <xf numFmtId="191" fontId="0" fillId="0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90" fontId="0" fillId="0" borderId="0" xfId="0" applyNumberFormat="1" applyFont="1" applyFill="1" applyBorder="1"/>
    <xf numFmtId="0" fontId="0" fillId="0" borderId="32" xfId="0" applyFont="1" applyFill="1" applyBorder="1"/>
    <xf numFmtId="191" fontId="0" fillId="0" borderId="6" xfId="0" applyNumberFormat="1" applyFont="1" applyFill="1" applyBorder="1" applyAlignment="1">
      <alignment horizontal="center" vertical="center" wrapText="1"/>
    </xf>
    <xf numFmtId="191" fontId="10" fillId="0" borderId="38" xfId="0" applyNumberFormat="1" applyFont="1" applyFill="1" applyBorder="1" applyAlignment="1">
      <alignment horizontal="center" vertical="center" wrapText="1"/>
    </xf>
    <xf numFmtId="191" fontId="0" fillId="0" borderId="39" xfId="0" applyNumberFormat="1" applyFont="1" applyFill="1" applyBorder="1" applyAlignment="1">
      <alignment horizontal="center" vertical="center"/>
    </xf>
    <xf numFmtId="191" fontId="4" fillId="0" borderId="0" xfId="0" applyNumberFormat="1" applyFont="1"/>
    <xf numFmtId="192" fontId="4" fillId="0" borderId="0" xfId="0" applyNumberFormat="1" applyFont="1"/>
    <xf numFmtId="194" fontId="4" fillId="0" borderId="0" xfId="0" applyNumberFormat="1" applyFont="1" applyAlignment="1">
      <alignment horizontal="center"/>
    </xf>
    <xf numFmtId="191" fontId="7" fillId="0" borderId="38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wrapText="1"/>
    </xf>
    <xf numFmtId="195" fontId="0" fillId="0" borderId="33" xfId="0" applyNumberFormat="1" applyFont="1" applyFill="1" applyBorder="1" applyAlignment="1">
      <alignment horizontal="center"/>
    </xf>
    <xf numFmtId="195" fontId="0" fillId="0" borderId="6" xfId="0" applyNumberFormat="1" applyFont="1" applyFill="1" applyBorder="1" applyAlignment="1">
      <alignment horizontal="center"/>
    </xf>
    <xf numFmtId="196" fontId="4" fillId="0" borderId="0" xfId="0" applyNumberFormat="1" applyFont="1" applyAlignment="1">
      <alignment horizontal="center" vertical="center"/>
    </xf>
    <xf numFmtId="196" fontId="4" fillId="0" borderId="0" xfId="0" applyNumberFormat="1" applyFont="1" applyAlignment="1">
      <alignment horizontal="center"/>
    </xf>
    <xf numFmtId="3" fontId="109" fillId="0" borderId="0" xfId="712" applyNumberFormat="1" applyFont="1" applyFill="1" applyBorder="1" applyAlignment="1">
      <alignment horizontal="center"/>
    </xf>
    <xf numFmtId="198" fontId="4" fillId="0" borderId="0" xfId="0" applyNumberFormat="1" applyFont="1"/>
    <xf numFmtId="197" fontId="4" fillId="0" borderId="0" xfId="0" applyNumberFormat="1" applyFont="1"/>
    <xf numFmtId="191" fontId="4" fillId="0" borderId="0" xfId="0" applyNumberFormat="1" applyFont="1" applyAlignment="1">
      <alignment horizontal="center" vertical="center"/>
    </xf>
    <xf numFmtId="197" fontId="4" fillId="0" borderId="0" xfId="0" applyNumberFormat="1" applyFont="1" applyAlignment="1">
      <alignment horizontal="center" vertical="center"/>
    </xf>
    <xf numFmtId="194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9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" fontId="9" fillId="0" borderId="0" xfId="0" applyNumberFormat="1" applyFont="1" applyFill="1" applyBorder="1" applyAlignment="1">
      <alignment horizontal="left" vertical="center"/>
    </xf>
    <xf numFmtId="191" fontId="4" fillId="0" borderId="0" xfId="0" applyNumberFormat="1" applyFont="1" applyFill="1" applyAlignment="1">
      <alignment horizontal="center" vertical="center"/>
    </xf>
    <xf numFmtId="19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95" fontId="4" fillId="0" borderId="0" xfId="0" applyNumberFormat="1" applyFont="1"/>
    <xf numFmtId="191" fontId="0" fillId="0" borderId="0" xfId="0" applyNumberFormat="1" applyFont="1" applyFill="1" applyAlignment="1">
      <alignment horizontal="center" vertical="center"/>
    </xf>
    <xf numFmtId="191" fontId="111" fillId="0" borderId="0" xfId="0" applyNumberFormat="1" applyFont="1" applyAlignment="1">
      <alignment horizontal="center" vertical="center"/>
    </xf>
    <xf numFmtId="0" fontId="107" fillId="0" borderId="6" xfId="712" applyFont="1" applyBorder="1" applyAlignment="1">
      <alignment horizontal="left" vertical="center"/>
    </xf>
    <xf numFmtId="0" fontId="110" fillId="70" borderId="6" xfId="712" applyFont="1" applyFill="1" applyBorder="1" applyAlignment="1">
      <alignment horizontal="left" vertical="center"/>
    </xf>
    <xf numFmtId="0" fontId="107" fillId="0" borderId="0" xfId="712" applyFont="1" applyBorder="1" applyAlignment="1">
      <alignment horizontal="left" vertical="center"/>
    </xf>
    <xf numFmtId="0" fontId="105" fillId="0" borderId="0" xfId="712" applyFont="1" applyFill="1" applyBorder="1" applyAlignment="1">
      <alignment horizontal="left" vertical="center"/>
    </xf>
    <xf numFmtId="0" fontId="107" fillId="0" borderId="0" xfId="712" applyFont="1" applyAlignment="1">
      <alignment horizontal="right" vertical="center"/>
    </xf>
    <xf numFmtId="197" fontId="0" fillId="0" borderId="0" xfId="0" applyNumberFormat="1" applyFont="1" applyAlignment="1">
      <alignment horizontal="center"/>
    </xf>
    <xf numFmtId="197" fontId="0" fillId="0" borderId="0" xfId="0" applyNumberFormat="1" applyFont="1" applyAlignment="1">
      <alignment horizontal="center" vertical="center"/>
    </xf>
    <xf numFmtId="191" fontId="112" fillId="0" borderId="0" xfId="0" applyNumberFormat="1" applyFont="1" applyAlignment="1">
      <alignment horizontal="center" vertical="center"/>
    </xf>
    <xf numFmtId="192" fontId="112" fillId="0" borderId="0" xfId="0" applyNumberFormat="1" applyFont="1" applyAlignment="1">
      <alignment horizontal="center" vertical="center"/>
    </xf>
    <xf numFmtId="17" fontId="9" fillId="0" borderId="37" xfId="0" applyNumberFormat="1" applyFont="1" applyBorder="1" applyAlignment="1">
      <alignment horizontal="left" vertical="center"/>
    </xf>
    <xf numFmtId="191" fontId="0" fillId="0" borderId="38" xfId="0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4" fillId="0" borderId="0" xfId="0" applyFont="1" applyAlignment="1">
      <alignment horizontal="center"/>
    </xf>
    <xf numFmtId="0" fontId="116" fillId="0" borderId="0" xfId="712" applyFont="1" applyBorder="1" applyAlignment="1">
      <alignment horizontal="left" vertical="center"/>
    </xf>
    <xf numFmtId="3" fontId="117" fillId="0" borderId="0" xfId="712" applyNumberFormat="1" applyFont="1" applyFill="1" applyBorder="1" applyAlignment="1">
      <alignment horizontal="center"/>
    </xf>
    <xf numFmtId="191" fontId="114" fillId="0" borderId="0" xfId="0" applyNumberFormat="1" applyFont="1" applyAlignment="1">
      <alignment horizontal="center" vertical="center"/>
    </xf>
    <xf numFmtId="0" fontId="114" fillId="0" borderId="6" xfId="712" applyFont="1" applyBorder="1"/>
    <xf numFmtId="0" fontId="116" fillId="69" borderId="6" xfId="712" applyFont="1" applyFill="1" applyBorder="1" applyAlignment="1">
      <alignment horizontal="center" vertical="center"/>
    </xf>
    <xf numFmtId="191" fontId="120" fillId="0" borderId="0" xfId="0" applyNumberFormat="1" applyFont="1" applyAlignment="1">
      <alignment horizontal="center" vertical="center"/>
    </xf>
    <xf numFmtId="0" fontId="116" fillId="0" borderId="6" xfId="712" applyFont="1" applyBorder="1" applyAlignment="1">
      <alignment horizontal="left" vertical="center"/>
    </xf>
    <xf numFmtId="3" fontId="121" fillId="69" borderId="40" xfId="712" applyNumberFormat="1" applyFont="1" applyFill="1" applyBorder="1" applyAlignment="1">
      <alignment horizontal="center" vertical="center" wrapText="1"/>
    </xf>
    <xf numFmtId="3" fontId="121" fillId="69" borderId="6" xfId="712" applyNumberFormat="1" applyFont="1" applyFill="1" applyBorder="1" applyAlignment="1">
      <alignment horizontal="center" vertical="center"/>
    </xf>
    <xf numFmtId="191" fontId="114" fillId="0" borderId="0" xfId="0" applyNumberFormat="1" applyFont="1" applyAlignment="1">
      <alignment horizontal="center"/>
    </xf>
    <xf numFmtId="0" fontId="119" fillId="0" borderId="0" xfId="712" applyFont="1" applyFill="1" applyBorder="1" applyAlignment="1">
      <alignment horizontal="left" vertical="center"/>
    </xf>
    <xf numFmtId="0" fontId="114" fillId="0" borderId="0" xfId="712" applyFont="1" applyAlignment="1">
      <alignment horizontal="center"/>
    </xf>
    <xf numFmtId="0" fontId="116" fillId="0" borderId="0" xfId="712" applyFont="1" applyAlignment="1">
      <alignment horizontal="right" vertical="center"/>
    </xf>
    <xf numFmtId="3" fontId="117" fillId="69" borderId="6" xfId="712" applyNumberFormat="1" applyFont="1" applyFill="1" applyBorder="1" applyAlignment="1">
      <alignment horizontal="center" vertical="center"/>
    </xf>
    <xf numFmtId="0" fontId="114" fillId="0" borderId="0" xfId="0" applyFont="1" applyFill="1"/>
    <xf numFmtId="3" fontId="121" fillId="0" borderId="40" xfId="712" applyNumberFormat="1" applyFont="1" applyFill="1" applyBorder="1" applyAlignment="1">
      <alignment horizontal="center" vertical="center" wrapText="1"/>
    </xf>
    <xf numFmtId="3" fontId="121" fillId="0" borderId="6" xfId="712" applyNumberFormat="1" applyFont="1" applyFill="1" applyBorder="1" applyAlignment="1">
      <alignment horizontal="center" vertical="center"/>
    </xf>
    <xf numFmtId="194" fontId="114" fillId="0" borderId="0" xfId="0" applyNumberFormat="1" applyFont="1" applyAlignment="1">
      <alignment horizontal="center"/>
    </xf>
    <xf numFmtId="0" fontId="115" fillId="70" borderId="6" xfId="712" applyFont="1" applyFill="1" applyBorder="1" applyAlignment="1">
      <alignment horizontal="left" vertical="center"/>
    </xf>
    <xf numFmtId="3" fontId="115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 vertical="center"/>
    </xf>
    <xf numFmtId="0" fontId="114" fillId="0" borderId="0" xfId="0" applyFont="1" applyAlignment="1">
      <alignment vertical="center"/>
    </xf>
    <xf numFmtId="196" fontId="114" fillId="0" borderId="0" xfId="0" applyNumberFormat="1" applyFont="1" applyAlignment="1">
      <alignment horizontal="center" vertical="center"/>
    </xf>
    <xf numFmtId="197" fontId="114" fillId="0" borderId="0" xfId="0" applyNumberFormat="1" applyFont="1" applyAlignment="1">
      <alignment horizontal="center" vertical="center"/>
    </xf>
    <xf numFmtId="192" fontId="114" fillId="0" borderId="0" xfId="0" applyNumberFormat="1" applyFont="1" applyAlignment="1">
      <alignment horizontal="left" vertical="center"/>
    </xf>
    <xf numFmtId="192" fontId="114" fillId="0" borderId="0" xfId="0" applyNumberFormat="1" applyFont="1"/>
    <xf numFmtId="192" fontId="120" fillId="0" borderId="0" xfId="0" applyNumberFormat="1" applyFont="1" applyAlignment="1">
      <alignment horizontal="center" vertical="center"/>
    </xf>
    <xf numFmtId="198" fontId="114" fillId="0" borderId="0" xfId="0" applyNumberFormat="1" applyFont="1"/>
    <xf numFmtId="197" fontId="114" fillId="0" borderId="0" xfId="0" applyNumberFormat="1" applyFont="1"/>
    <xf numFmtId="192" fontId="114" fillId="0" borderId="0" xfId="0" applyNumberFormat="1" applyFont="1" applyAlignment="1">
      <alignment horizontal="center"/>
    </xf>
    <xf numFmtId="191" fontId="114" fillId="0" borderId="0" xfId="0" applyNumberFormat="1" applyFont="1"/>
    <xf numFmtId="3" fontId="114" fillId="0" borderId="0" xfId="0" applyNumberFormat="1" applyFont="1"/>
    <xf numFmtId="17" fontId="118" fillId="0" borderId="0" xfId="0" applyNumberFormat="1" applyFont="1" applyFill="1" applyBorder="1" applyAlignment="1">
      <alignment horizontal="left" vertical="center"/>
    </xf>
    <xf numFmtId="3" fontId="114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91" fontId="114" fillId="0" borderId="0" xfId="0" applyNumberFormat="1" applyFont="1" applyFill="1" applyAlignment="1">
      <alignment horizontal="center" vertical="center"/>
    </xf>
    <xf numFmtId="191" fontId="122" fillId="0" borderId="0" xfId="0" applyNumberFormat="1" applyFont="1" applyAlignment="1">
      <alignment horizontal="center" vertical="center"/>
    </xf>
    <xf numFmtId="195" fontId="114" fillId="0" borderId="0" xfId="0" applyNumberFormat="1" applyFont="1"/>
    <xf numFmtId="191" fontId="121" fillId="0" borderId="31" xfId="0" applyNumberFormat="1" applyFont="1" applyFill="1" applyBorder="1" applyAlignment="1">
      <alignment horizontal="center" vertical="center"/>
    </xf>
    <xf numFmtId="191" fontId="124" fillId="0" borderId="6" xfId="0" applyNumberFormat="1" applyFont="1" applyFill="1" applyBorder="1" applyAlignment="1">
      <alignment horizontal="center" vertical="center"/>
    </xf>
    <xf numFmtId="191" fontId="121" fillId="0" borderId="6" xfId="0" applyNumberFormat="1" applyFont="1" applyFill="1" applyBorder="1" applyAlignment="1">
      <alignment horizontal="center" vertical="center"/>
    </xf>
    <xf numFmtId="191" fontId="123" fillId="0" borderId="6" xfId="0" applyNumberFormat="1" applyFont="1" applyFill="1" applyBorder="1" applyAlignment="1">
      <alignment horizontal="center" vertical="center"/>
    </xf>
    <xf numFmtId="191" fontId="117" fillId="0" borderId="6" xfId="0" applyNumberFormat="1" applyFont="1" applyFill="1" applyBorder="1" applyAlignment="1">
      <alignment horizontal="center" vertical="center"/>
    </xf>
    <xf numFmtId="192" fontId="121" fillId="0" borderId="31" xfId="0" applyNumberFormat="1" applyFont="1" applyFill="1" applyBorder="1" applyAlignment="1">
      <alignment horizontal="center" vertical="center"/>
    </xf>
    <xf numFmtId="3" fontId="121" fillId="0" borderId="31" xfId="0" applyNumberFormat="1" applyFont="1" applyFill="1" applyBorder="1" applyAlignment="1">
      <alignment horizontal="center"/>
    </xf>
    <xf numFmtId="195" fontId="121" fillId="0" borderId="31" xfId="0" applyNumberFormat="1" applyFont="1" applyFill="1" applyBorder="1" applyAlignment="1">
      <alignment horizontal="center"/>
    </xf>
    <xf numFmtId="3" fontId="124" fillId="0" borderId="6" xfId="0" applyNumberFormat="1" applyFont="1" applyFill="1" applyBorder="1" applyAlignment="1">
      <alignment horizontal="center"/>
    </xf>
    <xf numFmtId="195" fontId="121" fillId="0" borderId="6" xfId="0" applyNumberFormat="1" applyFont="1" applyFill="1" applyBorder="1" applyAlignment="1">
      <alignment horizontal="center"/>
    </xf>
    <xf numFmtId="3" fontId="121" fillId="0" borderId="6" xfId="0" applyNumberFormat="1" applyFont="1" applyFill="1" applyBorder="1" applyAlignment="1">
      <alignment horizontal="center"/>
    </xf>
    <xf numFmtId="0" fontId="121" fillId="0" borderId="0" xfId="0" applyFont="1"/>
    <xf numFmtId="191" fontId="121" fillId="0" borderId="0" xfId="0" applyNumberFormat="1" applyFont="1" applyAlignment="1">
      <alignment horizontal="center" vertical="center"/>
    </xf>
    <xf numFmtId="194" fontId="121" fillId="0" borderId="0" xfId="0" applyNumberFormat="1" applyFont="1" applyAlignment="1">
      <alignment horizontal="left" vertical="center"/>
    </xf>
    <xf numFmtId="0" fontId="121" fillId="0" borderId="6" xfId="712" applyFont="1" applyBorder="1"/>
    <xf numFmtId="0" fontId="117" fillId="69" borderId="6" xfId="712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/>
    </xf>
    <xf numFmtId="17" fontId="123" fillId="0" borderId="6" xfId="0" applyNumberFormat="1" applyFont="1" applyBorder="1" applyAlignment="1">
      <alignment horizontal="center" vertical="center"/>
    </xf>
    <xf numFmtId="17" fontId="117" fillId="0" borderId="6" xfId="0" applyNumberFormat="1" applyFont="1" applyBorder="1" applyAlignment="1">
      <alignment horizontal="center" vertical="center"/>
    </xf>
    <xf numFmtId="17" fontId="121" fillId="0" borderId="31" xfId="0" applyNumberFormat="1" applyFont="1" applyBorder="1" applyAlignment="1">
      <alignment horizontal="right" vertical="center"/>
    </xf>
    <xf numFmtId="192" fontId="121" fillId="0" borderId="6" xfId="0" applyNumberFormat="1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 wrapText="1"/>
    </xf>
    <xf numFmtId="0" fontId="115" fillId="0" borderId="45" xfId="0" applyFont="1" applyBorder="1" applyAlignment="1">
      <alignment horizontal="center" vertical="top" wrapText="1"/>
    </xf>
    <xf numFmtId="4" fontId="115" fillId="0" borderId="45" xfId="0" applyNumberFormat="1" applyFont="1" applyBorder="1" applyAlignment="1">
      <alignment horizontal="center" vertical="top" wrapText="1"/>
    </xf>
    <xf numFmtId="17" fontId="115" fillId="71" borderId="42" xfId="0" applyNumberFormat="1" applyFont="1" applyFill="1" applyBorder="1" applyAlignment="1">
      <alignment horizontal="center" vertical="center" wrapText="1"/>
    </xf>
    <xf numFmtId="191" fontId="115" fillId="71" borderId="43" xfId="0" applyNumberFormat="1" applyFont="1" applyFill="1" applyBorder="1" applyAlignment="1">
      <alignment horizontal="center" vertical="center"/>
    </xf>
    <xf numFmtId="191" fontId="115" fillId="71" borderId="43" xfId="0" applyNumberFormat="1" applyFont="1" applyFill="1" applyBorder="1" applyAlignment="1">
      <alignment horizontal="center"/>
    </xf>
    <xf numFmtId="195" fontId="125" fillId="71" borderId="43" xfId="0" applyNumberFormat="1" applyFont="1" applyFill="1" applyBorder="1" applyAlignment="1">
      <alignment horizontal="center"/>
    </xf>
    <xf numFmtId="3" fontId="125" fillId="71" borderId="43" xfId="0" applyNumberFormat="1" applyFont="1" applyFill="1" applyBorder="1" applyAlignment="1">
      <alignment horizontal="center"/>
    </xf>
    <xf numFmtId="3" fontId="125" fillId="71" borderId="44" xfId="0" applyNumberFormat="1" applyFont="1" applyFill="1" applyBorder="1" applyAlignment="1">
      <alignment horizontal="center"/>
    </xf>
    <xf numFmtId="17" fontId="115" fillId="71" borderId="42" xfId="0" applyNumberFormat="1" applyFont="1" applyFill="1" applyBorder="1" applyAlignment="1">
      <alignment horizontal="center" vertical="center"/>
    </xf>
    <xf numFmtId="192" fontId="115" fillId="71" borderId="43" xfId="0" applyNumberFormat="1" applyFont="1" applyFill="1" applyBorder="1" applyAlignment="1">
      <alignment horizontal="center" vertical="center"/>
    </xf>
    <xf numFmtId="192" fontId="115" fillId="71" borderId="44" xfId="0" applyNumberFormat="1" applyFont="1" applyFill="1" applyBorder="1" applyAlignment="1">
      <alignment horizontal="center" vertical="center"/>
    </xf>
    <xf numFmtId="191" fontId="115" fillId="71" borderId="44" xfId="0" applyNumberFormat="1" applyFont="1" applyFill="1" applyBorder="1" applyAlignment="1">
      <alignment horizontal="center" vertical="center"/>
    </xf>
    <xf numFmtId="0" fontId="115" fillId="0" borderId="45" xfId="0" applyFont="1" applyBorder="1" applyAlignment="1">
      <alignment horizontal="center" vertical="center" wrapText="1"/>
    </xf>
    <xf numFmtId="17" fontId="121" fillId="0" borderId="6" xfId="0" applyNumberFormat="1" applyFont="1" applyFill="1" applyBorder="1" applyAlignment="1">
      <alignment horizontal="right" vertical="center"/>
    </xf>
    <xf numFmtId="0" fontId="116" fillId="0" borderId="0" xfId="712" applyFont="1" applyBorder="1"/>
    <xf numFmtId="0" fontId="119" fillId="0" borderId="0" xfId="712" applyFont="1" applyFill="1" applyBorder="1"/>
    <xf numFmtId="0" fontId="116" fillId="0" borderId="0" xfId="712" applyFont="1" applyAlignment="1">
      <alignment horizontal="center"/>
    </xf>
    <xf numFmtId="0" fontId="116" fillId="69" borderId="6" xfId="712" applyFont="1" applyFill="1" applyBorder="1" applyAlignment="1">
      <alignment horizontal="center"/>
    </xf>
    <xf numFmtId="0" fontId="116" fillId="0" borderId="6" xfId="712" applyFont="1" applyBorder="1"/>
    <xf numFmtId="3" fontId="121" fillId="69" borderId="6" xfId="712" applyNumberFormat="1" applyFont="1" applyFill="1" applyBorder="1" applyAlignment="1">
      <alignment horizontal="center"/>
    </xf>
    <xf numFmtId="3" fontId="117" fillId="69" borderId="6" xfId="712" applyNumberFormat="1" applyFont="1" applyFill="1" applyBorder="1" applyAlignment="1">
      <alignment horizontal="center"/>
    </xf>
    <xf numFmtId="3" fontId="121" fillId="0" borderId="6" xfId="712" applyNumberFormat="1" applyFont="1" applyFill="1" applyBorder="1" applyAlignment="1">
      <alignment horizontal="center"/>
    </xf>
    <xf numFmtId="0" fontId="115" fillId="70" borderId="6" xfId="712" applyFont="1" applyFill="1" applyBorder="1"/>
    <xf numFmtId="3" fontId="115" fillId="70" borderId="6" xfId="712" applyNumberFormat="1" applyFont="1" applyFill="1" applyBorder="1" applyAlignment="1">
      <alignment horizontal="center"/>
    </xf>
    <xf numFmtId="3" fontId="117" fillId="70" borderId="6" xfId="712" applyNumberFormat="1" applyFont="1" applyFill="1" applyBorder="1" applyAlignment="1">
      <alignment horizontal="center"/>
    </xf>
    <xf numFmtId="0" fontId="114" fillId="0" borderId="0" xfId="0" applyFont="1" applyAlignment="1">
      <alignment horizontal="right" vertical="center"/>
    </xf>
    <xf numFmtId="3" fontId="117" fillId="70" borderId="6" xfId="712" applyNumberFormat="1" applyFont="1" applyFill="1" applyBorder="1" applyAlignment="1">
      <alignment horizontal="center" vertical="center"/>
    </xf>
    <xf numFmtId="0" fontId="114" fillId="0" borderId="6" xfId="712" applyFont="1" applyBorder="1" applyAlignment="1">
      <alignment vertical="center"/>
    </xf>
    <xf numFmtId="0" fontId="116" fillId="0" borderId="6" xfId="712" applyFont="1" applyBorder="1" applyAlignment="1">
      <alignment vertical="center"/>
    </xf>
    <xf numFmtId="0" fontId="115" fillId="70" borderId="6" xfId="712" applyFont="1" applyFill="1" applyBorder="1" applyAlignment="1">
      <alignment vertical="center"/>
    </xf>
    <xf numFmtId="17" fontId="123" fillId="0" borderId="31" xfId="0" applyNumberFormat="1" applyFont="1" applyBorder="1" applyAlignment="1">
      <alignment horizontal="center" vertical="center"/>
    </xf>
    <xf numFmtId="191" fontId="123" fillId="0" borderId="31" xfId="0" applyNumberFormat="1" applyFont="1" applyFill="1" applyBorder="1" applyAlignment="1">
      <alignment horizontal="center" vertical="center"/>
    </xf>
    <xf numFmtId="17" fontId="121" fillId="0" borderId="31" xfId="0" applyNumberFormat="1" applyFont="1" applyFill="1" applyBorder="1" applyAlignment="1">
      <alignment horizontal="right" vertical="center"/>
    </xf>
    <xf numFmtId="17" fontId="117" fillId="0" borderId="31" xfId="0" applyNumberFormat="1" applyFont="1" applyFill="1" applyBorder="1" applyAlignment="1">
      <alignment horizontal="right" vertical="center"/>
    </xf>
    <xf numFmtId="191" fontId="117" fillId="0" borderId="31" xfId="0" applyNumberFormat="1" applyFont="1" applyFill="1" applyBorder="1" applyAlignment="1">
      <alignment horizontal="center" vertical="center"/>
    </xf>
    <xf numFmtId="17" fontId="117" fillId="0" borderId="6" xfId="0" applyNumberFormat="1" applyFont="1" applyFill="1" applyBorder="1" applyAlignment="1">
      <alignment horizontal="right" vertical="center"/>
    </xf>
    <xf numFmtId="191" fontId="126" fillId="0" borderId="0" xfId="0" applyNumberFormat="1" applyFont="1" applyAlignment="1">
      <alignment horizontal="center" vertical="center"/>
    </xf>
    <xf numFmtId="190" fontId="121" fillId="69" borderId="40" xfId="712" applyNumberFormat="1" applyFont="1" applyFill="1" applyBorder="1" applyAlignment="1">
      <alignment horizontal="center" vertical="center" wrapText="1"/>
    </xf>
    <xf numFmtId="190" fontId="121" fillId="69" borderId="6" xfId="712" applyNumberFormat="1" applyFont="1" applyFill="1" applyBorder="1" applyAlignment="1">
      <alignment horizontal="center" vertical="center"/>
    </xf>
    <xf numFmtId="190" fontId="117" fillId="69" borderId="6" xfId="712" applyNumberFormat="1" applyFont="1" applyFill="1" applyBorder="1" applyAlignment="1">
      <alignment horizontal="center" vertical="center"/>
    </xf>
    <xf numFmtId="190" fontId="121" fillId="0" borderId="40" xfId="712" applyNumberFormat="1" applyFont="1" applyFill="1" applyBorder="1" applyAlignment="1">
      <alignment horizontal="center" vertical="center" wrapText="1"/>
    </xf>
    <xf numFmtId="190" fontId="121" fillId="0" borderId="6" xfId="712" applyNumberFormat="1" applyFont="1" applyFill="1" applyBorder="1" applyAlignment="1">
      <alignment horizontal="center" vertical="center"/>
    </xf>
    <xf numFmtId="190" fontId="115" fillId="70" borderId="6" xfId="712" applyNumberFormat="1" applyFont="1" applyFill="1" applyBorder="1" applyAlignment="1">
      <alignment horizontal="center" vertical="center"/>
    </xf>
    <xf numFmtId="190" fontId="117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/>
    </xf>
    <xf numFmtId="197" fontId="114" fillId="0" borderId="0" xfId="0" applyNumberFormat="1" applyFont="1" applyAlignment="1">
      <alignment horizontal="center"/>
    </xf>
    <xf numFmtId="192" fontId="120" fillId="0" borderId="0" xfId="0" applyNumberFormat="1" applyFont="1" applyAlignment="1">
      <alignment horizontal="center"/>
    </xf>
    <xf numFmtId="192" fontId="114" fillId="0" borderId="0" xfId="0" applyNumberFormat="1" applyFont="1" applyAlignment="1">
      <alignment horizontal="left"/>
    </xf>
    <xf numFmtId="192" fontId="120" fillId="0" borderId="0" xfId="0" applyNumberFormat="1" applyFont="1"/>
    <xf numFmtId="199" fontId="126" fillId="0" borderId="0" xfId="0" applyNumberFormat="1" applyFont="1" applyAlignment="1">
      <alignment horizontal="center" vertical="center"/>
    </xf>
    <xf numFmtId="191" fontId="120" fillId="0" borderId="0" xfId="0" applyNumberFormat="1" applyFont="1"/>
    <xf numFmtId="200" fontId="114" fillId="0" borderId="0" xfId="0" applyNumberFormat="1" applyFont="1"/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193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3" fontId="115" fillId="0" borderId="46" xfId="0" applyNumberFormat="1" applyFont="1" applyFill="1" applyBorder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 wrapText="1"/>
    </xf>
    <xf numFmtId="193" fontId="113" fillId="0" borderId="0" xfId="0" applyNumberFormat="1" applyFont="1" applyBorder="1" applyAlignment="1">
      <alignment horizontal="center" vertical="center"/>
    </xf>
    <xf numFmtId="4" fontId="115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1EB5-7382-4C9B-BE72-4FE3959BB92E}">
  <sheetPr>
    <tabColor rgb="FFFFDDFF"/>
    <pageSetUpPr fitToPage="1"/>
  </sheetPr>
  <dimension ref="A1:S52"/>
  <sheetViews>
    <sheetView zoomScale="87" zoomScaleNormal="87" workbookViewId="0">
      <selection activeCell="AB9" sqref="AB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9" width="9.140625" hidden="1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45292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7579883.4660090003</v>
      </c>
      <c r="C6" s="21">
        <f>SUM(C7:C10)</f>
        <v>25326.17</v>
      </c>
      <c r="D6" s="21">
        <f t="shared" ref="D6:H6" si="0">SUM(D7:D10)</f>
        <v>95571.053849000004</v>
      </c>
      <c r="E6" s="21">
        <f t="shared" si="0"/>
        <v>469287.74</v>
      </c>
      <c r="F6" s="21">
        <f t="shared" si="0"/>
        <v>2709511.8585199998</v>
      </c>
      <c r="G6" s="21">
        <f t="shared" si="0"/>
        <v>0</v>
      </c>
      <c r="H6" s="22">
        <f t="shared" si="0"/>
        <v>4280186.6436400004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7421948.2960090004</v>
      </c>
      <c r="C7" s="30">
        <v>0</v>
      </c>
      <c r="D7" s="30">
        <v>95571.053849000004</v>
      </c>
      <c r="E7" s="30">
        <v>469287.74</v>
      </c>
      <c r="F7" s="30">
        <v>2694630.8585199998</v>
      </c>
      <c r="G7" s="30">
        <v>0</v>
      </c>
      <c r="H7" s="56">
        <v>4162458.6436399999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128495</v>
      </c>
      <c r="C8" s="30">
        <v>0</v>
      </c>
      <c r="D8" s="30">
        <v>0</v>
      </c>
      <c r="E8" s="30">
        <v>0</v>
      </c>
      <c r="F8" s="30">
        <v>14881</v>
      </c>
      <c r="G8" s="30">
        <v>0</v>
      </c>
      <c r="H8" s="56">
        <v>113614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4114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4114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25326.17</v>
      </c>
      <c r="C10" s="30">
        <v>25326.17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9564</v>
      </c>
      <c r="N10" s="8">
        <v>3694</v>
      </c>
      <c r="O10" s="8"/>
      <c r="P10" s="8"/>
      <c r="Q10" s="52">
        <v>13258</v>
      </c>
    </row>
    <row r="11" spans="1:18" ht="18" customHeight="1" x14ac:dyDescent="0.2">
      <c r="A11" s="43" t="s">
        <v>3</v>
      </c>
      <c r="B11" s="36">
        <f t="shared" si="1"/>
        <v>43227554.887700006</v>
      </c>
      <c r="C11" s="21">
        <f>SUM(C12:C15)</f>
        <v>325178.61</v>
      </c>
      <c r="D11" s="21">
        <f t="shared" ref="D11:H11" si="2">SUM(D12:D15)</f>
        <v>726962.56</v>
      </c>
      <c r="E11" s="21">
        <f t="shared" si="2"/>
        <v>142348</v>
      </c>
      <c r="F11" s="21">
        <f t="shared" si="2"/>
        <v>3315736.8025000002</v>
      </c>
      <c r="G11" s="21">
        <f t="shared" si="2"/>
        <v>9560</v>
      </c>
      <c r="H11" s="22">
        <f t="shared" si="2"/>
        <v>38707768.915200002</v>
      </c>
      <c r="J11" s="90" t="s">
        <v>1</v>
      </c>
      <c r="K11" s="53">
        <v>0</v>
      </c>
      <c r="L11" s="53">
        <v>0</v>
      </c>
      <c r="M11" s="53">
        <v>9564</v>
      </c>
      <c r="N11" s="53">
        <v>3694</v>
      </c>
      <c r="O11" s="53">
        <v>0</v>
      </c>
      <c r="P11" s="53">
        <v>0</v>
      </c>
      <c r="Q11" s="53">
        <v>13258</v>
      </c>
    </row>
    <row r="12" spans="1:18" ht="18" customHeight="1" x14ac:dyDescent="0.2">
      <c r="A12" s="42" t="s">
        <v>29</v>
      </c>
      <c r="B12" s="37">
        <f t="shared" si="1"/>
        <v>41137367.647699997</v>
      </c>
      <c r="C12" s="30">
        <v>0</v>
      </c>
      <c r="D12" s="30">
        <v>726962.56</v>
      </c>
      <c r="E12" s="30">
        <v>142348</v>
      </c>
      <c r="F12" s="30">
        <v>3277644.8025000002</v>
      </c>
      <c r="G12" s="30">
        <v>9560</v>
      </c>
      <c r="H12" s="56">
        <v>36980852.2852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1672933.96</v>
      </c>
      <c r="C13" s="30">
        <v>0</v>
      </c>
      <c r="D13" s="30">
        <v>0</v>
      </c>
      <c r="E13" s="30">
        <v>0</v>
      </c>
      <c r="F13" s="30">
        <v>38092</v>
      </c>
      <c r="G13" s="30">
        <v>0</v>
      </c>
      <c r="H13" s="56">
        <v>1634841.96</v>
      </c>
      <c r="J13" s="91" t="s">
        <v>25</v>
      </c>
      <c r="K13" s="55">
        <v>0</v>
      </c>
      <c r="L13" s="55">
        <v>0</v>
      </c>
      <c r="M13" s="55">
        <v>9564</v>
      </c>
      <c r="N13" s="55">
        <v>3694</v>
      </c>
      <c r="O13" s="55">
        <v>0</v>
      </c>
      <c r="P13" s="55">
        <v>0</v>
      </c>
      <c r="Q13" s="55">
        <v>13258</v>
      </c>
      <c r="R13" s="12"/>
    </row>
    <row r="14" spans="1:18" ht="24" customHeight="1" x14ac:dyDescent="0.2">
      <c r="A14" s="44" t="s">
        <v>31</v>
      </c>
      <c r="B14" s="37">
        <f t="shared" si="1"/>
        <v>92074.67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92074.67</v>
      </c>
      <c r="Q14" s="2"/>
    </row>
    <row r="15" spans="1:18" ht="18" customHeight="1" x14ac:dyDescent="0.2">
      <c r="A15" s="42" t="s">
        <v>28</v>
      </c>
      <c r="B15" s="37">
        <f t="shared" si="1"/>
        <v>325178.61</v>
      </c>
      <c r="C15" s="30">
        <v>325178.61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 t="shared" si="1"/>
        <v>58663333.261862993</v>
      </c>
      <c r="C16" s="21">
        <f>SUM(C17:C20)</f>
        <v>4134634.916919</v>
      </c>
      <c r="D16" s="21">
        <f t="shared" ref="D16:H16" si="3">SUM(D17:D20)</f>
        <v>14903351.337117</v>
      </c>
      <c r="E16" s="21">
        <f t="shared" si="3"/>
        <v>3725247.0453570001</v>
      </c>
      <c r="F16" s="21">
        <f t="shared" si="3"/>
        <v>23374800.406096999</v>
      </c>
      <c r="G16" s="21">
        <f t="shared" si="3"/>
        <v>278131.80358200002</v>
      </c>
      <c r="H16" s="22">
        <f t="shared" si="3"/>
        <v>12247167.752791001</v>
      </c>
    </row>
    <row r="17" spans="1:14" ht="18" customHeight="1" x14ac:dyDescent="0.2">
      <c r="A17" s="42" t="s">
        <v>29</v>
      </c>
      <c r="B17" s="37">
        <f t="shared" si="1"/>
        <v>53484695.724313997</v>
      </c>
      <c r="C17" s="30">
        <v>0</v>
      </c>
      <c r="D17" s="30">
        <v>14903351.337117</v>
      </c>
      <c r="E17" s="30">
        <v>3706140.5292750001</v>
      </c>
      <c r="F17" s="30">
        <v>22890745.830747999</v>
      </c>
      <c r="G17" s="30">
        <v>278131.80358200002</v>
      </c>
      <c r="H17" s="56">
        <f>11719584.223592-13258</f>
        <v>11706326.223592</v>
      </c>
      <c r="I17" s="1"/>
    </row>
    <row r="18" spans="1:14" ht="24" customHeight="1" x14ac:dyDescent="0.2">
      <c r="A18" s="44" t="s">
        <v>30</v>
      </c>
      <c r="B18" s="37">
        <f t="shared" si="1"/>
        <v>938507.56062999996</v>
      </c>
      <c r="C18" s="30">
        <v>0</v>
      </c>
      <c r="D18" s="30">
        <v>0</v>
      </c>
      <c r="E18" s="30">
        <v>19106.516081999998</v>
      </c>
      <c r="F18" s="30">
        <v>406583.57534899999</v>
      </c>
      <c r="G18" s="30">
        <v>0</v>
      </c>
      <c r="H18" s="56">
        <v>512817.46919899998</v>
      </c>
      <c r="J18" s="65"/>
    </row>
    <row r="19" spans="1:14" ht="24" customHeight="1" x14ac:dyDescent="0.2">
      <c r="A19" s="44" t="s">
        <v>31</v>
      </c>
      <c r="B19" s="37">
        <f t="shared" si="1"/>
        <v>105495.06</v>
      </c>
      <c r="C19" s="30">
        <v>0</v>
      </c>
      <c r="D19" s="30">
        <v>0</v>
      </c>
      <c r="E19" s="30">
        <v>0</v>
      </c>
      <c r="F19" s="30">
        <v>77471</v>
      </c>
      <c r="G19" s="30">
        <v>0</v>
      </c>
      <c r="H19" s="56">
        <v>28024.06</v>
      </c>
      <c r="J19" s="65"/>
    </row>
    <row r="20" spans="1:14" ht="18" customHeight="1" x14ac:dyDescent="0.2">
      <c r="A20" s="42" t="s">
        <v>28</v>
      </c>
      <c r="B20" s="37">
        <f t="shared" si="1"/>
        <v>4134634.916919</v>
      </c>
      <c r="C20" s="30">
        <v>4134634.916919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109470771.61557201</v>
      </c>
      <c r="C21" s="21">
        <f>C6+C11+C16</f>
        <v>4485139.6969189998</v>
      </c>
      <c r="D21" s="21">
        <f t="shared" ref="D21:H21" si="4">D6+D11+D16</f>
        <v>15725884.950966001</v>
      </c>
      <c r="E21" s="21">
        <f t="shared" si="4"/>
        <v>4336882.7853570003</v>
      </c>
      <c r="F21" s="21">
        <f t="shared" si="4"/>
        <v>29400049.067116998</v>
      </c>
      <c r="G21" s="21">
        <f t="shared" si="4"/>
        <v>287691.80358200002</v>
      </c>
      <c r="H21" s="22">
        <f t="shared" si="4"/>
        <v>55235123.311631009</v>
      </c>
      <c r="J21" s="76">
        <v>109484029.61557199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1.4901161193847656E-8</v>
      </c>
      <c r="K22" s="79"/>
    </row>
    <row r="23" spans="1:14" ht="18" customHeight="1" thickBot="1" x14ac:dyDescent="0.25">
      <c r="A23" s="50" t="s">
        <v>8</v>
      </c>
      <c r="B23" s="66">
        <v>6293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9.5845976629999985</v>
      </c>
      <c r="C25" s="23">
        <f>SUM(C26:C29)</f>
        <v>3.8703902349999999</v>
      </c>
      <c r="D25" s="23">
        <f t="shared" ref="D25:H25" si="5">SUM(D26:D29)</f>
        <v>0.20211773099999999</v>
      </c>
      <c r="E25" s="23">
        <f t="shared" si="5"/>
        <v>3.3207060000000001E-3</v>
      </c>
      <c r="F25" s="23">
        <f t="shared" si="5"/>
        <v>4.3866609929999996</v>
      </c>
      <c r="G25" s="23">
        <f t="shared" si="5"/>
        <v>0.31296623800000001</v>
      </c>
      <c r="H25" s="24">
        <f t="shared" si="5"/>
        <v>0.80914176000000004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3.8703902349999999</v>
      </c>
      <c r="C26" s="39">
        <v>3.8703902349999999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3.8703902349999999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5.6800963480000002</v>
      </c>
      <c r="C27" s="39">
        <v>0</v>
      </c>
      <c r="D27" s="39">
        <v>0.20211773099999999</v>
      </c>
      <c r="E27" s="39">
        <v>3.3207060000000001E-3</v>
      </c>
      <c r="F27" s="39">
        <v>4.3631168689999997</v>
      </c>
      <c r="G27" s="39">
        <v>0.31296623800000001</v>
      </c>
      <c r="H27" s="47">
        <v>0.79857480400000003</v>
      </c>
      <c r="J27" s="77">
        <v>5.7142074279999999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3.4111080000000002E-2</v>
      </c>
      <c r="C28" s="39">
        <v>0</v>
      </c>
      <c r="D28" s="39">
        <v>0</v>
      </c>
      <c r="E28" s="39">
        <v>0</v>
      </c>
      <c r="F28" s="39">
        <v>2.3544124E-2</v>
      </c>
      <c r="G28" s="39">
        <v>0</v>
      </c>
      <c r="H28" s="47">
        <v>1.0566956000000001E-2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35796490.689329989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34031556.188951001</v>
      </c>
      <c r="C32" s="3"/>
      <c r="D32" s="70"/>
      <c r="E32" s="3"/>
      <c r="F32" s="3"/>
      <c r="G32" s="3"/>
      <c r="H32" s="10"/>
      <c r="J32" s="76">
        <f>D39</f>
        <v>34031556.188951001</v>
      </c>
      <c r="K32" s="81" t="s">
        <v>42</v>
      </c>
    </row>
    <row r="33" spans="1:11" ht="24" customHeight="1" x14ac:dyDescent="0.2">
      <c r="A33" s="27" t="s">
        <v>32</v>
      </c>
      <c r="B33" s="60">
        <v>456359.72612800001</v>
      </c>
      <c r="C33" s="4"/>
      <c r="D33" s="70"/>
      <c r="E33" s="3"/>
      <c r="F33" s="3"/>
      <c r="G33" s="3"/>
      <c r="H33" s="10"/>
      <c r="J33" s="76">
        <f>D44</f>
        <v>1764934.5003790001</v>
      </c>
      <c r="K33" s="81" t="s">
        <v>41</v>
      </c>
    </row>
    <row r="34" spans="1:11" ht="18" customHeight="1" x14ac:dyDescent="0.2">
      <c r="A34" s="28" t="s">
        <v>14</v>
      </c>
      <c r="B34" s="60">
        <v>710486.21160000004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261827.04250000001</v>
      </c>
      <c r="C35" s="4"/>
      <c r="D35" s="70"/>
      <c r="E35" s="3"/>
      <c r="F35" s="3"/>
      <c r="G35" s="3"/>
      <c r="H35" s="10"/>
      <c r="J35" s="97">
        <f>B31-J32-J33-J34</f>
        <v>-1.1408701539039612E-8</v>
      </c>
    </row>
    <row r="36" spans="1:11" ht="18" customHeight="1" thickBot="1" x14ac:dyDescent="0.25">
      <c r="A36" s="99" t="s">
        <v>12</v>
      </c>
      <c r="B36" s="100">
        <v>336261.520151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v>34031556.188950986</v>
      </c>
      <c r="C39" s="76">
        <f>B32-B39-J34</f>
        <v>1.4901161193847656E-8</v>
      </c>
      <c r="D39" s="88">
        <v>34031556.188951001</v>
      </c>
      <c r="E39" s="76">
        <f>B39-D39</f>
        <v>0</v>
      </c>
    </row>
    <row r="40" spans="1:11" hidden="1" x14ac:dyDescent="0.2">
      <c r="A40" s="79" t="s">
        <v>32</v>
      </c>
      <c r="B40" s="76">
        <v>456359.72612800001</v>
      </c>
      <c r="C40" s="76">
        <f>B33-B40</f>
        <v>0</v>
      </c>
      <c r="D40" s="88">
        <v>456359.72612800001</v>
      </c>
      <c r="E40" s="76">
        <f>B40-D40</f>
        <v>0</v>
      </c>
    </row>
    <row r="41" spans="1:11" hidden="1" x14ac:dyDescent="0.2">
      <c r="A41" s="79" t="s">
        <v>14</v>
      </c>
      <c r="B41" s="76">
        <v>710486.21160000016</v>
      </c>
      <c r="C41" s="76">
        <f>B34-B41</f>
        <v>0</v>
      </c>
      <c r="D41" s="88">
        <v>710486.21160000004</v>
      </c>
      <c r="E41" s="76">
        <f>B41-D41</f>
        <v>0</v>
      </c>
    </row>
    <row r="42" spans="1:11" hidden="1" x14ac:dyDescent="0.2">
      <c r="A42" s="79" t="s">
        <v>10</v>
      </c>
      <c r="B42" s="76">
        <v>261827.04249999998</v>
      </c>
      <c r="C42" s="76">
        <f>B35-B42</f>
        <v>0</v>
      </c>
      <c r="D42" s="88">
        <v>261827.04250000001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336261.52015099989</v>
      </c>
      <c r="C43" s="76">
        <f>B36-B43</f>
        <v>0</v>
      </c>
      <c r="D43" s="88">
        <v>336261.520151</v>
      </c>
      <c r="E43" s="76">
        <f>B43-D43</f>
        <v>0</v>
      </c>
    </row>
    <row r="44" spans="1:11" hidden="1" x14ac:dyDescent="0.2">
      <c r="B44" s="76">
        <f>SUM(B40:B43)</f>
        <v>1764934.5003789999</v>
      </c>
      <c r="C44" s="76">
        <f>SUM(C39:C43)</f>
        <v>1.4901161193847656E-8</v>
      </c>
      <c r="D44" s="83">
        <f>SUM(D40:D43)</f>
        <v>1764934.5003790001</v>
      </c>
      <c r="E44" s="76">
        <f>SUM(E39:E43)</f>
        <v>0</v>
      </c>
    </row>
    <row r="45" spans="1:11" hidden="1" x14ac:dyDescent="0.2">
      <c r="B45" s="89">
        <f>B44+B39+J34-B32</f>
        <v>1764934.5003789812</v>
      </c>
      <c r="C45" s="76"/>
      <c r="D45" s="83">
        <f>D44+D39</f>
        <v>35796490.689330004</v>
      </c>
      <c r="E45" s="76"/>
    </row>
    <row r="46" spans="1:11" hidden="1" x14ac:dyDescent="0.2">
      <c r="B46" s="76"/>
      <c r="C46" s="32"/>
      <c r="D46" s="32"/>
      <c r="E46" s="32"/>
    </row>
    <row r="47" spans="1:1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0A1D-407C-4F0D-BE95-00596382E26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45566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95080900.297809988</v>
      </c>
      <c r="C6" s="166">
        <f t="shared" ref="C6:H6" si="0">C7+C8</f>
        <v>2629672.6812499999</v>
      </c>
      <c r="D6" s="166">
        <f t="shared" si="0"/>
        <v>12870620.572217001</v>
      </c>
      <c r="E6" s="166">
        <f t="shared" si="0"/>
        <v>4099506.6517650001</v>
      </c>
      <c r="F6" s="166">
        <f t="shared" si="0"/>
        <v>28230195.310185999</v>
      </c>
      <c r="G6" s="166">
        <f t="shared" si="0"/>
        <v>287017.76603599999</v>
      </c>
      <c r="H6" s="174">
        <f t="shared" si="0"/>
        <v>46963887.316355988</v>
      </c>
      <c r="J6" s="153">
        <v>95098442.297810003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92451227.616559982</v>
      </c>
      <c r="C7" s="141">
        <f t="shared" ref="C7:H8" si="2">C10+C13</f>
        <v>0</v>
      </c>
      <c r="D7" s="141">
        <f t="shared" si="2"/>
        <v>12870620.572217001</v>
      </c>
      <c r="E7" s="141">
        <f t="shared" si="2"/>
        <v>4099506.6517650001</v>
      </c>
      <c r="F7" s="141">
        <f t="shared" si="2"/>
        <v>28230195.310185999</v>
      </c>
      <c r="G7" s="141">
        <f t="shared" si="2"/>
        <v>287017.76603599999</v>
      </c>
      <c r="H7" s="141">
        <f t="shared" si="2"/>
        <v>46963887.316355988</v>
      </c>
      <c r="J7" s="108">
        <f>B6-J6+S12</f>
        <v>-1.4872057363390923E-8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2629672.6812499999</v>
      </c>
      <c r="C8" s="143">
        <f t="shared" si="2"/>
        <v>2629672.6812499999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37652221.88550999</v>
      </c>
      <c r="C9" s="144">
        <f t="shared" ref="C9:H9" si="3">SUM(C10:C11)</f>
        <v>0</v>
      </c>
      <c r="D9" s="144">
        <f t="shared" si="3"/>
        <v>997120.1719999999</v>
      </c>
      <c r="E9" s="144">
        <f t="shared" si="3"/>
        <v>106242</v>
      </c>
      <c r="F9" s="144">
        <f t="shared" si="3"/>
        <v>3079742.61821</v>
      </c>
      <c r="G9" s="144">
        <f t="shared" si="3"/>
        <v>4240</v>
      </c>
      <c r="H9" s="144">
        <f t="shared" si="3"/>
        <v>33464877.095299989</v>
      </c>
      <c r="L9" s="191" t="s">
        <v>27</v>
      </c>
      <c r="M9" s="110">
        <v>6960</v>
      </c>
      <c r="N9" s="110">
        <v>0</v>
      </c>
      <c r="O9" s="110">
        <v>4920.0000000000273</v>
      </c>
      <c r="P9" s="110">
        <v>5662</v>
      </c>
      <c r="Q9" s="110"/>
      <c r="R9" s="110"/>
      <c r="S9" s="111">
        <v>17542.000000000029</v>
      </c>
    </row>
    <row r="10" spans="1:19" ht="18" customHeight="1" x14ac:dyDescent="0.2">
      <c r="A10" s="157" t="s">
        <v>29</v>
      </c>
      <c r="B10" s="143">
        <f t="shared" si="1"/>
        <v>37652221.88550999</v>
      </c>
      <c r="C10" s="143">
        <v>0</v>
      </c>
      <c r="D10" s="143">
        <v>997120.1719999999</v>
      </c>
      <c r="E10" s="143">
        <v>106242</v>
      </c>
      <c r="F10" s="143">
        <v>3079742.61821</v>
      </c>
      <c r="G10" s="143">
        <v>4240</v>
      </c>
      <c r="H10" s="143">
        <v>33464877.095299989</v>
      </c>
      <c r="L10" s="191" t="s">
        <v>1</v>
      </c>
      <c r="M10" s="116">
        <v>6960</v>
      </c>
      <c r="N10" s="116">
        <v>0</v>
      </c>
      <c r="O10" s="116">
        <v>4920.0000000000273</v>
      </c>
      <c r="P10" s="116">
        <v>5662</v>
      </c>
      <c r="Q10" s="116">
        <v>0</v>
      </c>
      <c r="R10" s="116">
        <v>0</v>
      </c>
      <c r="S10" s="116">
        <v>17542.000000000029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57428678.412299998</v>
      </c>
      <c r="C12" s="144">
        <f t="shared" ref="C12:G12" si="4">SUM(C13:C14)</f>
        <v>2629672.6812499999</v>
      </c>
      <c r="D12" s="144">
        <f t="shared" si="4"/>
        <v>11873500.400217</v>
      </c>
      <c r="E12" s="144">
        <f t="shared" si="4"/>
        <v>3993264.6517650001</v>
      </c>
      <c r="F12" s="144">
        <f t="shared" si="4"/>
        <v>25150452.691976</v>
      </c>
      <c r="G12" s="144">
        <f t="shared" si="4"/>
        <v>282777.76603599999</v>
      </c>
      <c r="H12" s="144">
        <f>SUM(H13:H14)</f>
        <v>13499010.221055999</v>
      </c>
      <c r="L12" s="192" t="s">
        <v>25</v>
      </c>
      <c r="M12" s="122">
        <v>6960</v>
      </c>
      <c r="N12" s="122">
        <v>0</v>
      </c>
      <c r="O12" s="122">
        <v>4920.0000000000273</v>
      </c>
      <c r="P12" s="122">
        <v>5662</v>
      </c>
      <c r="Q12" s="122">
        <v>0</v>
      </c>
      <c r="R12" s="122">
        <v>0</v>
      </c>
      <c r="S12" s="189">
        <v>17542.000000000029</v>
      </c>
    </row>
    <row r="13" spans="1:19" ht="18" customHeight="1" x14ac:dyDescent="0.2">
      <c r="A13" s="157" t="s">
        <v>29</v>
      </c>
      <c r="B13" s="143">
        <f t="shared" si="1"/>
        <v>54799005.731049992</v>
      </c>
      <c r="C13" s="143">
        <v>0</v>
      </c>
      <c r="D13" s="143">
        <v>11873500.400217</v>
      </c>
      <c r="E13" s="143">
        <v>3993264.6517650001</v>
      </c>
      <c r="F13" s="143">
        <v>25150452.691976</v>
      </c>
      <c r="G13" s="143">
        <v>282777.76603599999</v>
      </c>
      <c r="H13" s="143">
        <f>13516552.221056-17542</f>
        <v>13499010.221055999</v>
      </c>
      <c r="I13" s="117"/>
    </row>
    <row r="14" spans="1:19" ht="18" customHeight="1" x14ac:dyDescent="0.2">
      <c r="A14" s="157" t="s">
        <v>48</v>
      </c>
      <c r="B14" s="143">
        <f t="shared" si="1"/>
        <v>2629672.6812499999</v>
      </c>
      <c r="C14" s="143">
        <v>2629672.6812499999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8604.4897000000001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10.218093975</v>
      </c>
      <c r="C17" s="172">
        <f t="shared" ref="C17:H17" si="5">SUM(C18:C19)</f>
        <v>2.9992350010000002</v>
      </c>
      <c r="D17" s="172">
        <f t="shared" si="5"/>
        <v>0.206754884</v>
      </c>
      <c r="E17" s="172">
        <f t="shared" si="5"/>
        <v>0</v>
      </c>
      <c r="F17" s="172">
        <f t="shared" si="5"/>
        <v>5.995579599</v>
      </c>
      <c r="G17" s="172">
        <f t="shared" si="5"/>
        <v>0.411875769</v>
      </c>
      <c r="H17" s="173">
        <f t="shared" si="5"/>
        <v>0.60464872199999997</v>
      </c>
      <c r="J17" s="126">
        <v>2.9992350010000002</v>
      </c>
      <c r="K17" s="127" t="s">
        <v>57</v>
      </c>
      <c r="L17" s="128">
        <v>10.21322441</v>
      </c>
      <c r="M17" s="128">
        <f>B17-L17-J19</f>
        <v>8.8817841970012523E-16</v>
      </c>
    </row>
    <row r="18" spans="1:14" ht="18" customHeight="1" x14ac:dyDescent="0.2">
      <c r="A18" s="160" t="s">
        <v>29</v>
      </c>
      <c r="B18" s="146">
        <f>SUM(C18:H18)</f>
        <v>7.2188589740000007</v>
      </c>
      <c r="C18" s="146">
        <v>0</v>
      </c>
      <c r="D18" s="146">
        <v>0.206754884</v>
      </c>
      <c r="E18" s="146">
        <v>0</v>
      </c>
      <c r="F18" s="146">
        <v>5.995579599</v>
      </c>
      <c r="G18" s="146">
        <v>0.411875769</v>
      </c>
      <c r="H18" s="146">
        <v>0.60464872199999997</v>
      </c>
      <c r="J18" s="126">
        <v>7.2139894090000007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2.9992350010000002</v>
      </c>
      <c r="C19" s="161">
        <v>2.9992350010000002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4.8695649999990209E-3</v>
      </c>
      <c r="K19" s="123" t="s">
        <v>58</v>
      </c>
      <c r="L19" s="130">
        <v>4.8695650000000002E-3</v>
      </c>
      <c r="M19" s="128">
        <f>J19-L19</f>
        <v>-9.792514021889076E-16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24533459.288787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22633201.871093001</v>
      </c>
      <c r="C22" s="147"/>
      <c r="D22" s="148"/>
      <c r="E22" s="147"/>
      <c r="F22" s="147"/>
      <c r="G22" s="147"/>
      <c r="H22" s="147"/>
      <c r="J22" s="105">
        <f>D29</f>
        <v>22585580.491092999</v>
      </c>
      <c r="K22" s="123" t="s">
        <v>42</v>
      </c>
    </row>
    <row r="23" spans="1:14" ht="30.75" customHeight="1" x14ac:dyDescent="0.2">
      <c r="A23" s="162" t="s">
        <v>32</v>
      </c>
      <c r="B23" s="143">
        <v>391469.86103799997</v>
      </c>
      <c r="C23" s="149"/>
      <c r="D23" s="150"/>
      <c r="E23" s="151"/>
      <c r="F23" s="151"/>
      <c r="G23" s="151"/>
      <c r="H23" s="151"/>
      <c r="J23" s="105">
        <f>D34</f>
        <v>1900257.4176940001</v>
      </c>
      <c r="K23" s="123" t="s">
        <v>41</v>
      </c>
    </row>
    <row r="24" spans="1:14" ht="18" customHeight="1" x14ac:dyDescent="0.2">
      <c r="A24" s="176" t="s">
        <v>14</v>
      </c>
      <c r="B24" s="143">
        <v>1088742.6416559999</v>
      </c>
      <c r="C24" s="149"/>
      <c r="D24" s="150"/>
      <c r="E24" s="151"/>
      <c r="F24" s="151"/>
      <c r="G24" s="151"/>
      <c r="H24" s="151"/>
      <c r="J24" s="105">
        <v>47621.380000000005</v>
      </c>
      <c r="K24" s="123" t="s">
        <v>43</v>
      </c>
    </row>
    <row r="25" spans="1:14" ht="18" customHeight="1" x14ac:dyDescent="0.2">
      <c r="A25" s="157" t="s">
        <v>10</v>
      </c>
      <c r="B25" s="143">
        <v>167954.52900000001</v>
      </c>
      <c r="C25" s="149"/>
      <c r="D25" s="150"/>
      <c r="E25" s="151"/>
      <c r="F25" s="151"/>
      <c r="G25" s="151"/>
      <c r="H25" s="151"/>
      <c r="J25" s="108">
        <f>B21-J22-J23-J24</f>
        <v>1.280568540096283E-9</v>
      </c>
    </row>
    <row r="26" spans="1:14" ht="18" customHeight="1" x14ac:dyDescent="0.2">
      <c r="A26" s="157" t="s">
        <v>12</v>
      </c>
      <c r="B26" s="143">
        <v>252090.386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22585580.491093013</v>
      </c>
      <c r="C29" s="105">
        <f>B22-B29-J24</f>
        <v>-1.2223608791828156E-8</v>
      </c>
      <c r="D29" s="138">
        <v>22585580.491092999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391469.86103799997</v>
      </c>
      <c r="C30" s="105">
        <f>B23-B30</f>
        <v>0</v>
      </c>
      <c r="D30" s="138">
        <v>391469.86103799997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1088742.6416560002</v>
      </c>
      <c r="C31" s="105">
        <f>B24-B31</f>
        <v>0</v>
      </c>
      <c r="D31" s="138">
        <v>1088742.6416559999</v>
      </c>
      <c r="E31" s="105">
        <f>B31-D31</f>
        <v>0</v>
      </c>
    </row>
    <row r="32" spans="1:14" hidden="1" x14ac:dyDescent="0.2">
      <c r="A32" s="188" t="s">
        <v>10</v>
      </c>
      <c r="B32" s="105">
        <v>167954.52899999998</v>
      </c>
      <c r="C32" s="105">
        <f>B25-B32</f>
        <v>0</v>
      </c>
      <c r="D32" s="138">
        <v>167954.52900000001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252090.38599999994</v>
      </c>
      <c r="C33" s="105">
        <f>B26-B33</f>
        <v>0</v>
      </c>
      <c r="D33" s="138">
        <v>252090.386</v>
      </c>
      <c r="E33" s="105">
        <f>B33-D33</f>
        <v>0</v>
      </c>
    </row>
    <row r="34" spans="1:5" hidden="1" x14ac:dyDescent="0.2">
      <c r="B34" s="105">
        <f>SUM(B30:B33)</f>
        <v>1900257.4176940001</v>
      </c>
      <c r="C34" s="105">
        <f>SUM(C29:C33)</f>
        <v>-1.2223608791828156E-8</v>
      </c>
      <c r="D34" s="138">
        <f>SUM(D30:D33)</f>
        <v>1900257.4176940001</v>
      </c>
      <c r="E34" s="105">
        <f>SUM(E29:E33)</f>
        <v>0</v>
      </c>
    </row>
    <row r="35" spans="1:5" hidden="1" x14ac:dyDescent="0.2">
      <c r="B35" s="139">
        <f>B34+B29+J24-B22</f>
        <v>1900257.4176940098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3DE8-23D6-4C41-BF22-53F3D3AB62C9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45597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99685251.835310996</v>
      </c>
      <c r="C6" s="166">
        <f t="shared" ref="C6:H6" si="0">C7+C8</f>
        <v>3556147.6687150002</v>
      </c>
      <c r="D6" s="166">
        <f t="shared" si="0"/>
        <v>14610628.683355998</v>
      </c>
      <c r="E6" s="166">
        <f t="shared" si="0"/>
        <v>3973223.0652069999</v>
      </c>
      <c r="F6" s="166">
        <f t="shared" si="0"/>
        <v>26962421.415235002</v>
      </c>
      <c r="G6" s="166">
        <f t="shared" si="0"/>
        <v>266619.93117600004</v>
      </c>
      <c r="H6" s="174">
        <f t="shared" si="0"/>
        <v>50316211.071621999</v>
      </c>
      <c r="J6" s="153">
        <v>99775430.105311021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96129104.166595995</v>
      </c>
      <c r="C7" s="141">
        <f t="shared" ref="C7:H8" si="2">C10+C13</f>
        <v>0</v>
      </c>
      <c r="D7" s="141">
        <f t="shared" si="2"/>
        <v>14610628.683355998</v>
      </c>
      <c r="E7" s="141">
        <f t="shared" si="2"/>
        <v>3973223.0652069999</v>
      </c>
      <c r="F7" s="141">
        <f t="shared" si="2"/>
        <v>26962421.415235002</v>
      </c>
      <c r="G7" s="141">
        <f t="shared" si="2"/>
        <v>266619.93117600004</v>
      </c>
      <c r="H7" s="141">
        <f t="shared" si="2"/>
        <v>50316211.071621999</v>
      </c>
      <c r="J7" s="108">
        <f>B6-J6+S12</f>
        <v>-2.5625922717154026E-8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3556147.6687150002</v>
      </c>
      <c r="C8" s="143">
        <f t="shared" si="2"/>
        <v>3556147.6687150002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40720120.327489994</v>
      </c>
      <c r="C9" s="144">
        <f t="shared" ref="C9:H9" si="3">SUM(C10:C11)</f>
        <v>0</v>
      </c>
      <c r="D9" s="144">
        <f t="shared" si="3"/>
        <v>988476.46100000001</v>
      </c>
      <c r="E9" s="144">
        <f t="shared" si="3"/>
        <v>97596</v>
      </c>
      <c r="F9" s="144">
        <f t="shared" si="3"/>
        <v>3060315.4035899998</v>
      </c>
      <c r="G9" s="144">
        <f t="shared" si="3"/>
        <v>7600</v>
      </c>
      <c r="H9" s="144">
        <f t="shared" si="3"/>
        <v>36566132.462899998</v>
      </c>
      <c r="L9" s="191" t="s">
        <v>27</v>
      </c>
      <c r="M9" s="110">
        <v>80142.27</v>
      </c>
      <c r="N9" s="110">
        <v>0</v>
      </c>
      <c r="O9" s="110">
        <v>5772</v>
      </c>
      <c r="P9" s="110">
        <v>4264</v>
      </c>
      <c r="Q9" s="110"/>
      <c r="R9" s="110"/>
      <c r="S9" s="111">
        <v>90178.27</v>
      </c>
    </row>
    <row r="10" spans="1:19" ht="18" customHeight="1" x14ac:dyDescent="0.2">
      <c r="A10" s="157" t="s">
        <v>29</v>
      </c>
      <c r="B10" s="143">
        <f t="shared" si="1"/>
        <v>40720120.327489994</v>
      </c>
      <c r="C10" s="143">
        <v>0</v>
      </c>
      <c r="D10" s="143">
        <v>988476.46100000001</v>
      </c>
      <c r="E10" s="143">
        <v>97596</v>
      </c>
      <c r="F10" s="143">
        <v>3060315.4035899998</v>
      </c>
      <c r="G10" s="143">
        <v>7600</v>
      </c>
      <c r="H10" s="143">
        <v>36566132.462899998</v>
      </c>
      <c r="L10" s="191" t="s">
        <v>1</v>
      </c>
      <c r="M10" s="116">
        <v>80142.27</v>
      </c>
      <c r="N10" s="116">
        <v>0</v>
      </c>
      <c r="O10" s="116">
        <v>5772</v>
      </c>
      <c r="P10" s="116">
        <v>4264</v>
      </c>
      <c r="Q10" s="116">
        <v>0</v>
      </c>
      <c r="R10" s="116">
        <v>0</v>
      </c>
      <c r="S10" s="116">
        <v>90178.27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58965131.507821001</v>
      </c>
      <c r="C12" s="144">
        <f t="shared" ref="C12:G12" si="4">SUM(C13:C14)</f>
        <v>3556147.6687150002</v>
      </c>
      <c r="D12" s="144">
        <f t="shared" si="4"/>
        <v>13622152.222355999</v>
      </c>
      <c r="E12" s="144">
        <f t="shared" si="4"/>
        <v>3875627.0652069999</v>
      </c>
      <c r="F12" s="144">
        <f t="shared" si="4"/>
        <v>23902106.011645</v>
      </c>
      <c r="G12" s="144">
        <f t="shared" si="4"/>
        <v>259019.93117600004</v>
      </c>
      <c r="H12" s="144">
        <f>SUM(H13:H14)</f>
        <v>13750078.608722001</v>
      </c>
      <c r="L12" s="192" t="s">
        <v>25</v>
      </c>
      <c r="M12" s="122">
        <v>80142.27</v>
      </c>
      <c r="N12" s="122">
        <v>0</v>
      </c>
      <c r="O12" s="122">
        <v>5772</v>
      </c>
      <c r="P12" s="122">
        <v>4264</v>
      </c>
      <c r="Q12" s="122">
        <v>0</v>
      </c>
      <c r="R12" s="122">
        <v>0</v>
      </c>
      <c r="S12" s="189">
        <v>90178.27</v>
      </c>
    </row>
    <row r="13" spans="1:19" ht="18" customHeight="1" x14ac:dyDescent="0.2">
      <c r="A13" s="157" t="s">
        <v>29</v>
      </c>
      <c r="B13" s="143">
        <f t="shared" si="1"/>
        <v>55408983.839106001</v>
      </c>
      <c r="C13" s="143">
        <v>0</v>
      </c>
      <c r="D13" s="143">
        <v>13622152.222355999</v>
      </c>
      <c r="E13" s="143">
        <v>3875627.0652069999</v>
      </c>
      <c r="F13" s="143">
        <v>23902106.011645</v>
      </c>
      <c r="G13" s="143">
        <v>259019.93117600004</v>
      </c>
      <c r="H13" s="143">
        <f>13840256.878722-90178.27</f>
        <v>13750078.608722001</v>
      </c>
      <c r="I13" s="117"/>
    </row>
    <row r="14" spans="1:19" ht="18" customHeight="1" x14ac:dyDescent="0.2">
      <c r="A14" s="157" t="s">
        <v>48</v>
      </c>
      <c r="B14" s="143">
        <f t="shared" si="1"/>
        <v>3556147.6687150002</v>
      </c>
      <c r="C14" s="143">
        <v>3556147.6687150002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8788.1777000000002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11.248844332000001</v>
      </c>
      <c r="C17" s="172">
        <f t="shared" ref="C17:H17" si="5">SUM(C18:C19)</f>
        <v>3.859768093</v>
      </c>
      <c r="D17" s="172">
        <f t="shared" si="5"/>
        <v>0.19420638100000001</v>
      </c>
      <c r="E17" s="172">
        <f t="shared" si="5"/>
        <v>0</v>
      </c>
      <c r="F17" s="172">
        <f t="shared" si="5"/>
        <v>6.0504243630000003</v>
      </c>
      <c r="G17" s="172">
        <f t="shared" si="5"/>
        <v>0.37506442000000001</v>
      </c>
      <c r="H17" s="173">
        <f t="shared" si="5"/>
        <v>0.76938107499999997</v>
      </c>
      <c r="J17" s="126">
        <v>3.859768093</v>
      </c>
      <c r="K17" s="127" t="s">
        <v>57</v>
      </c>
      <c r="L17" s="128">
        <v>11.243749094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7.3890762390000004</v>
      </c>
      <c r="C18" s="146">
        <v>0</v>
      </c>
      <c r="D18" s="146">
        <v>0.19420638100000001</v>
      </c>
      <c r="E18" s="146">
        <v>0</v>
      </c>
      <c r="F18" s="146">
        <v>6.0504243630000003</v>
      </c>
      <c r="G18" s="146">
        <v>0.37506442000000001</v>
      </c>
      <c r="H18" s="146">
        <v>0.76938107499999997</v>
      </c>
      <c r="J18" s="126">
        <v>7.3839810010000004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3.859768093</v>
      </c>
      <c r="C19" s="161">
        <v>3.859768093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5.0952380000008901E-3</v>
      </c>
      <c r="K19" s="123" t="s">
        <v>58</v>
      </c>
      <c r="L19" s="131">
        <v>5.0952380000000002E-3</v>
      </c>
      <c r="M19" s="128">
        <f>J19-L19</f>
        <v>8.8991314317610204E-16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26578906.625851002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24556174.608761001</v>
      </c>
      <c r="C22" s="147"/>
      <c r="D22" s="148"/>
      <c r="E22" s="147"/>
      <c r="F22" s="147"/>
      <c r="G22" s="147"/>
      <c r="H22" s="147"/>
      <c r="J22" s="105">
        <f>D29</f>
        <v>24596208.608761001</v>
      </c>
      <c r="K22" s="123" t="s">
        <v>42</v>
      </c>
    </row>
    <row r="23" spans="1:14" ht="30.75" customHeight="1" x14ac:dyDescent="0.2">
      <c r="A23" s="162" t="s">
        <v>32</v>
      </c>
      <c r="B23" s="143">
        <v>404209.78641399997</v>
      </c>
      <c r="C23" s="149"/>
      <c r="D23" s="150"/>
      <c r="E23" s="151"/>
      <c r="F23" s="151"/>
      <c r="G23" s="151"/>
      <c r="H23" s="151"/>
      <c r="J23" s="105">
        <f>D34</f>
        <v>2070327.01709</v>
      </c>
      <c r="K23" s="123" t="s">
        <v>41</v>
      </c>
    </row>
    <row r="24" spans="1:14" ht="18" customHeight="1" x14ac:dyDescent="0.2">
      <c r="A24" s="176" t="s">
        <v>14</v>
      </c>
      <c r="B24" s="143">
        <v>1390739.7641759999</v>
      </c>
      <c r="C24" s="149"/>
      <c r="D24" s="150"/>
      <c r="E24" s="151"/>
      <c r="F24" s="151"/>
      <c r="G24" s="151"/>
      <c r="H24" s="151"/>
      <c r="J24" s="105">
        <f>-40034-47595</f>
        <v>-87629</v>
      </c>
      <c r="K24" s="123" t="s">
        <v>43</v>
      </c>
    </row>
    <row r="25" spans="1:14" ht="18" customHeight="1" x14ac:dyDescent="0.2">
      <c r="A25" s="157" t="s">
        <v>10</v>
      </c>
      <c r="B25" s="143">
        <v>69632.396500000003</v>
      </c>
      <c r="C25" s="149"/>
      <c r="D25" s="150"/>
      <c r="E25" s="151"/>
      <c r="F25" s="151"/>
      <c r="G25" s="151"/>
      <c r="H25" s="151"/>
      <c r="J25" s="108">
        <f>B21-J22-J23-J24</f>
        <v>2.3283064365386963E-10</v>
      </c>
    </row>
    <row r="26" spans="1:14" ht="18" customHeight="1" x14ac:dyDescent="0.2">
      <c r="A26" s="157" t="s">
        <v>12</v>
      </c>
      <c r="B26" s="143">
        <v>158150.07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24596208.608761005</v>
      </c>
      <c r="C29" s="105">
        <f>B22-B29-J24</f>
        <v>47594.999999996275</v>
      </c>
      <c r="D29" s="138">
        <v>24596208.608761001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404209.78641400003</v>
      </c>
      <c r="C30" s="105">
        <f>B23-B30</f>
        <v>0</v>
      </c>
      <c r="D30" s="138">
        <v>404209.78641399997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1390739.7641760008</v>
      </c>
      <c r="C31" s="105">
        <f>B24-B31</f>
        <v>0</v>
      </c>
      <c r="D31" s="138">
        <v>1390739.7641759999</v>
      </c>
      <c r="E31" s="105">
        <f>B31-D31</f>
        <v>0</v>
      </c>
    </row>
    <row r="32" spans="1:14" hidden="1" x14ac:dyDescent="0.2">
      <c r="A32" s="188" t="s">
        <v>10</v>
      </c>
      <c r="B32" s="105">
        <v>117227.39649999999</v>
      </c>
      <c r="C32" s="105">
        <f>B25-B32</f>
        <v>-47594.999999999985</v>
      </c>
      <c r="D32" s="138">
        <v>117227.3965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158150.07000000007</v>
      </c>
      <c r="C33" s="105">
        <f>B26-B33</f>
        <v>0</v>
      </c>
      <c r="D33" s="138">
        <v>158150.07</v>
      </c>
      <c r="E33" s="105">
        <f>B33-D33</f>
        <v>0</v>
      </c>
    </row>
    <row r="34" spans="1:5" hidden="1" x14ac:dyDescent="0.2">
      <c r="B34" s="105">
        <f>SUM(B30:B33)</f>
        <v>2070327.0170900009</v>
      </c>
      <c r="C34" s="105">
        <f>SUM(C29:C33)</f>
        <v>-3.7107383832335472E-9</v>
      </c>
      <c r="D34" s="138">
        <f>SUM(D30:D33)</f>
        <v>2070327.01709</v>
      </c>
      <c r="E34" s="105">
        <f>SUM(E29:E33)</f>
        <v>0</v>
      </c>
    </row>
    <row r="35" spans="1:5" hidden="1" x14ac:dyDescent="0.2">
      <c r="B35" s="139">
        <f>B34+B29+J24-B22</f>
        <v>2022732.0170900039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3899-949C-48AE-B084-628AEAA1D347}">
  <sheetPr>
    <tabColor rgb="FFFFDDFF"/>
    <pageSetUpPr fitToPage="1"/>
  </sheetPr>
  <dimension ref="A1:S42"/>
  <sheetViews>
    <sheetView zoomScale="87" zoomScaleNormal="87" workbookViewId="0">
      <selection activeCell="B17" sqref="B17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customWidth="1"/>
    <col min="10" max="10" width="21.28515625" style="102" customWidth="1"/>
    <col min="11" max="11" width="11.7109375" style="101" customWidth="1"/>
    <col min="12" max="12" width="12.42578125" style="101" customWidth="1"/>
    <col min="13" max="13" width="11.7109375" style="101" customWidth="1"/>
    <col min="14" max="17" width="7.28515625" style="101" customWidth="1"/>
    <col min="18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45627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101001165.49650699</v>
      </c>
      <c r="C6" s="166">
        <f t="shared" ref="C6:H6" si="0">C7+C8</f>
        <v>3929002.9289279999</v>
      </c>
      <c r="D6" s="166">
        <f t="shared" si="0"/>
        <v>15972022.222348999</v>
      </c>
      <c r="E6" s="166">
        <f t="shared" si="0"/>
        <v>4471794.1943819998</v>
      </c>
      <c r="F6" s="166">
        <f t="shared" si="0"/>
        <v>27781700.203220997</v>
      </c>
      <c r="G6" s="166">
        <f t="shared" si="0"/>
        <v>281963.98993699998</v>
      </c>
      <c r="H6" s="174">
        <f t="shared" si="0"/>
        <v>48564681.957689993</v>
      </c>
      <c r="J6" s="153">
        <v>101198671.89650701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5" t="s">
        <v>29</v>
      </c>
      <c r="B7" s="141">
        <f t="shared" ref="B7:B14" si="1">SUM(C7:H7)</f>
        <v>97072162.567578986</v>
      </c>
      <c r="C7" s="141">
        <f t="shared" ref="C7:H8" si="2">C10+C13</f>
        <v>0</v>
      </c>
      <c r="D7" s="141">
        <f t="shared" si="2"/>
        <v>15972022.222348999</v>
      </c>
      <c r="E7" s="141">
        <f t="shared" si="2"/>
        <v>4471794.1943819998</v>
      </c>
      <c r="F7" s="141">
        <f t="shared" si="2"/>
        <v>27781700.203220997</v>
      </c>
      <c r="G7" s="141">
        <f t="shared" si="2"/>
        <v>281963.98993699998</v>
      </c>
      <c r="H7" s="141">
        <f t="shared" si="2"/>
        <v>48564681.957689993</v>
      </c>
      <c r="J7" s="108">
        <f>B6-J6+S12</f>
        <v>-2.0867446437478065E-8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76" t="s">
        <v>48</v>
      </c>
      <c r="B8" s="143">
        <f t="shared" si="1"/>
        <v>3929002.9289279999</v>
      </c>
      <c r="C8" s="143">
        <f t="shared" si="2"/>
        <v>3929002.9289279999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39583357.737400994</v>
      </c>
      <c r="C9" s="194">
        <f t="shared" ref="C9:H9" si="3">SUM(C10:C11)</f>
        <v>0</v>
      </c>
      <c r="D9" s="194">
        <f t="shared" si="3"/>
        <v>997594.49799999991</v>
      </c>
      <c r="E9" s="194">
        <f t="shared" si="3"/>
        <v>151667</v>
      </c>
      <c r="F9" s="194">
        <f t="shared" si="3"/>
        <v>3224303.0636010012</v>
      </c>
      <c r="G9" s="194">
        <f t="shared" si="3"/>
        <v>9040</v>
      </c>
      <c r="H9" s="194">
        <f t="shared" si="3"/>
        <v>35200753.175799996</v>
      </c>
      <c r="L9" s="191" t="s">
        <v>27</v>
      </c>
      <c r="M9" s="110">
        <v>186254.4</v>
      </c>
      <c r="N9" s="110">
        <v>0</v>
      </c>
      <c r="O9" s="110">
        <v>6858.0000000000382</v>
      </c>
      <c r="P9" s="110">
        <v>4394</v>
      </c>
      <c r="Q9" s="110"/>
      <c r="R9" s="110"/>
      <c r="S9" s="111">
        <v>197506.40000000002</v>
      </c>
    </row>
    <row r="10" spans="1:19" ht="18" customHeight="1" x14ac:dyDescent="0.2">
      <c r="A10" s="157" t="s">
        <v>29</v>
      </c>
      <c r="B10" s="143">
        <f t="shared" si="1"/>
        <v>39583357.737400994</v>
      </c>
      <c r="C10" s="143">
        <v>0</v>
      </c>
      <c r="D10" s="143">
        <v>997594.49799999991</v>
      </c>
      <c r="E10" s="143">
        <v>151667</v>
      </c>
      <c r="F10" s="143">
        <v>3224303.0636010012</v>
      </c>
      <c r="G10" s="143">
        <v>9040</v>
      </c>
      <c r="H10" s="143">
        <v>35200753.175799996</v>
      </c>
      <c r="L10" s="191" t="s">
        <v>1</v>
      </c>
      <c r="M10" s="116">
        <v>186254.4</v>
      </c>
      <c r="N10" s="116">
        <v>0</v>
      </c>
      <c r="O10" s="116">
        <v>6858.0000000000382</v>
      </c>
      <c r="P10" s="116">
        <v>4394</v>
      </c>
      <c r="Q10" s="116">
        <v>0</v>
      </c>
      <c r="R10" s="116">
        <v>0</v>
      </c>
      <c r="S10" s="116">
        <v>197506.40000000002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61417807.759105995</v>
      </c>
      <c r="C12" s="144">
        <f t="shared" ref="C12:G12" si="4">SUM(C13:C14)</f>
        <v>3929002.9289279999</v>
      </c>
      <c r="D12" s="144">
        <f t="shared" si="4"/>
        <v>14974427.724349</v>
      </c>
      <c r="E12" s="144">
        <f t="shared" si="4"/>
        <v>4320127.1943819998</v>
      </c>
      <c r="F12" s="144">
        <f t="shared" si="4"/>
        <v>24557397.139619995</v>
      </c>
      <c r="G12" s="144">
        <f t="shared" si="4"/>
        <v>272923.98993699998</v>
      </c>
      <c r="H12" s="144">
        <f>SUM(H13:H14)</f>
        <v>13363928.781889999</v>
      </c>
      <c r="L12" s="192" t="s">
        <v>25</v>
      </c>
      <c r="M12" s="122">
        <v>186254.4</v>
      </c>
      <c r="N12" s="122">
        <v>0</v>
      </c>
      <c r="O12" s="122">
        <v>6858.0000000000382</v>
      </c>
      <c r="P12" s="122">
        <v>4394</v>
      </c>
      <c r="Q12" s="122">
        <v>0</v>
      </c>
      <c r="R12" s="122">
        <v>0</v>
      </c>
      <c r="S12" s="189">
        <v>197506.4</v>
      </c>
    </row>
    <row r="13" spans="1:19" ht="18" customHeight="1" x14ac:dyDescent="0.2">
      <c r="A13" s="157" t="s">
        <v>29</v>
      </c>
      <c r="B13" s="143">
        <f t="shared" si="1"/>
        <v>57488804.830177993</v>
      </c>
      <c r="C13" s="143">
        <v>0</v>
      </c>
      <c r="D13" s="143">
        <v>14974427.724349</v>
      </c>
      <c r="E13" s="143">
        <v>4320127.1943819998</v>
      </c>
      <c r="F13" s="143">
        <v>24557397.139619995</v>
      </c>
      <c r="G13" s="143">
        <v>272923.98993699998</v>
      </c>
      <c r="H13" s="143">
        <f>13561435.18189-197506.4</f>
        <v>13363928.781889999</v>
      </c>
      <c r="I13" s="117"/>
    </row>
    <row r="14" spans="1:19" ht="18" customHeight="1" x14ac:dyDescent="0.2">
      <c r="A14" s="157" t="s">
        <v>48</v>
      </c>
      <c r="B14" s="143">
        <f t="shared" si="1"/>
        <v>3929002.9289279999</v>
      </c>
      <c r="C14" s="143">
        <v>3929002.9289279999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19900.346000000001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11.156427069999999</v>
      </c>
      <c r="C17" s="172">
        <f t="shared" ref="C17:H17" si="5">SUM(C18:C19)</f>
        <v>3.9445277929999998</v>
      </c>
      <c r="D17" s="172">
        <f t="shared" si="5"/>
        <v>0.20033493399999999</v>
      </c>
      <c r="E17" s="172">
        <f t="shared" si="5"/>
        <v>0</v>
      </c>
      <c r="F17" s="172">
        <f t="shared" si="5"/>
        <v>5.8223455250000002</v>
      </c>
      <c r="G17" s="172">
        <f t="shared" si="5"/>
        <v>0.38139679900000001</v>
      </c>
      <c r="H17" s="173">
        <f t="shared" si="5"/>
        <v>0.80782201899999995</v>
      </c>
      <c r="J17" s="126">
        <v>3.9445277929999998</v>
      </c>
      <c r="K17" s="127" t="s">
        <v>57</v>
      </c>
      <c r="L17" s="128">
        <v>11.14990326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7.2118992769999997</v>
      </c>
      <c r="C18" s="146">
        <v>0</v>
      </c>
      <c r="D18" s="146">
        <v>0.20033493399999999</v>
      </c>
      <c r="E18" s="146">
        <v>0</v>
      </c>
      <c r="F18" s="146">
        <v>5.8223455250000002</v>
      </c>
      <c r="G18" s="146">
        <v>0.38139679900000001</v>
      </c>
      <c r="H18" s="146">
        <v>0.80782201899999995</v>
      </c>
      <c r="J18" s="126">
        <v>7.2053754669999996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3.9445277929999998</v>
      </c>
      <c r="C19" s="161">
        <v>3.9445277929999998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6.5238100000000188E-3</v>
      </c>
      <c r="K19" s="123" t="s">
        <v>58</v>
      </c>
      <c r="L19" s="131">
        <v>6.5238099999999997E-3</v>
      </c>
      <c r="M19" s="128">
        <f>J19-L19</f>
        <v>1.9081958235744878E-17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38630982.054789998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37323598.335565999</v>
      </c>
      <c r="C22" s="147"/>
      <c r="D22" s="148"/>
      <c r="E22" s="147"/>
      <c r="F22" s="147"/>
      <c r="G22" s="147"/>
      <c r="H22" s="147"/>
      <c r="J22" s="105">
        <f>D29</f>
        <v>37400764.835565999</v>
      </c>
      <c r="K22" s="123" t="s">
        <v>42</v>
      </c>
    </row>
    <row r="23" spans="1:14" ht="30.75" customHeight="1" x14ac:dyDescent="0.2">
      <c r="A23" s="162" t="s">
        <v>32</v>
      </c>
      <c r="B23" s="143">
        <v>419546.85015999997</v>
      </c>
      <c r="C23" s="149"/>
      <c r="D23" s="150"/>
      <c r="E23" s="151"/>
      <c r="F23" s="151"/>
      <c r="G23" s="151"/>
      <c r="H23" s="151"/>
      <c r="J23" s="105">
        <f>D34</f>
        <v>1307383.7192239999</v>
      </c>
      <c r="K23" s="123" t="s">
        <v>41</v>
      </c>
    </row>
    <row r="24" spans="1:14" ht="18" customHeight="1" x14ac:dyDescent="0.2">
      <c r="A24" s="176" t="s">
        <v>14</v>
      </c>
      <c r="B24" s="143">
        <v>285945.377064</v>
      </c>
      <c r="C24" s="149"/>
      <c r="D24" s="150"/>
      <c r="E24" s="151"/>
      <c r="F24" s="151"/>
      <c r="G24" s="151"/>
      <c r="H24" s="151"/>
      <c r="J24" s="105">
        <v>-77166.5</v>
      </c>
      <c r="K24" s="123" t="s">
        <v>43</v>
      </c>
    </row>
    <row r="25" spans="1:14" ht="18" customHeight="1" x14ac:dyDescent="0.2">
      <c r="A25" s="157" t="s">
        <v>10</v>
      </c>
      <c r="B25" s="143">
        <v>231483.08799999999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370408.40399999998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37400764.835565977</v>
      </c>
      <c r="C29" s="105">
        <f>B22-B29-J24</f>
        <v>2.2351741790771484E-8</v>
      </c>
      <c r="D29" s="138">
        <v>37400764.835565999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419546.85015999997</v>
      </c>
      <c r="C30" s="105">
        <f>B23-B30</f>
        <v>0</v>
      </c>
      <c r="D30" s="138">
        <v>419546.85015999997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285945.377064</v>
      </c>
      <c r="C31" s="105">
        <f>B24-B31</f>
        <v>0</v>
      </c>
      <c r="D31" s="138">
        <v>285945.377064</v>
      </c>
      <c r="E31" s="105">
        <f>B31-D31</f>
        <v>0</v>
      </c>
    </row>
    <row r="32" spans="1:14" hidden="1" x14ac:dyDescent="0.2">
      <c r="A32" s="188" t="s">
        <v>10</v>
      </c>
      <c r="B32" s="105">
        <v>231483.08800000002</v>
      </c>
      <c r="C32" s="105">
        <f>B25-B32</f>
        <v>0</v>
      </c>
      <c r="D32" s="138">
        <v>231483.08799999999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370408.40400000004</v>
      </c>
      <c r="C33" s="105">
        <f>B26-B33</f>
        <v>0</v>
      </c>
      <c r="D33" s="138">
        <v>370408.40399999998</v>
      </c>
      <c r="E33" s="105">
        <f>B33-D33</f>
        <v>0</v>
      </c>
    </row>
    <row r="34" spans="1:5" hidden="1" x14ac:dyDescent="0.2">
      <c r="B34" s="105">
        <f>SUM(B30:B33)</f>
        <v>1307383.7192240001</v>
      </c>
      <c r="C34" s="105">
        <f>SUM(C29:C33)</f>
        <v>2.2351741790771484E-8</v>
      </c>
      <c r="D34" s="138">
        <f>SUM(D30:D33)</f>
        <v>1307383.7192239999</v>
      </c>
      <c r="E34" s="105">
        <f>SUM(E29:E33)</f>
        <v>0</v>
      </c>
    </row>
    <row r="35" spans="1:5" hidden="1" x14ac:dyDescent="0.2">
      <c r="B35" s="139">
        <f>B34+B29+J24-B22</f>
        <v>1307383.7192239761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CCA4-A437-4E84-BC78-DC52A9DE9071}">
  <sheetPr>
    <tabColor rgb="FFCCCC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45658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108761143.05486898</v>
      </c>
      <c r="C6" s="166">
        <f t="shared" ref="C6:H6" si="0">C7+C8</f>
        <v>3674261.7924609999</v>
      </c>
      <c r="D6" s="166">
        <f t="shared" si="0"/>
        <v>14873008.811248001</v>
      </c>
      <c r="E6" s="166">
        <f t="shared" si="0"/>
        <v>4871957.7259679995</v>
      </c>
      <c r="F6" s="166">
        <f t="shared" si="0"/>
        <v>27303458.675455</v>
      </c>
      <c r="G6" s="166">
        <f t="shared" si="0"/>
        <v>118093.549784</v>
      </c>
      <c r="H6" s="174">
        <f t="shared" si="0"/>
        <v>57920362.499953002</v>
      </c>
      <c r="J6" s="153">
        <v>108946047.46486898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105086881.26240799</v>
      </c>
      <c r="C7" s="197">
        <f t="shared" ref="C7:H8" si="2">C10+C13</f>
        <v>0</v>
      </c>
      <c r="D7" s="197">
        <f t="shared" si="2"/>
        <v>14873008.811248001</v>
      </c>
      <c r="E7" s="197">
        <f t="shared" si="2"/>
        <v>4871957.7259679995</v>
      </c>
      <c r="F7" s="197">
        <f t="shared" si="2"/>
        <v>27303458.675455</v>
      </c>
      <c r="G7" s="197">
        <f t="shared" si="2"/>
        <v>118093.549784</v>
      </c>
      <c r="H7" s="197">
        <f t="shared" si="2"/>
        <v>57920362.499953002</v>
      </c>
      <c r="J7" s="108">
        <f>B6-J6+S12</f>
        <v>3.5797711461782455E-9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3674261.7924609999</v>
      </c>
      <c r="C8" s="145">
        <f t="shared" si="2"/>
        <v>3674261.7924609999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47000330.292913005</v>
      </c>
      <c r="C9" s="194">
        <f t="shared" ref="C9:H9" si="3">SUM(C10:C11)</f>
        <v>0</v>
      </c>
      <c r="D9" s="194">
        <f t="shared" si="3"/>
        <v>1055158.46</v>
      </c>
      <c r="E9" s="194">
        <f t="shared" si="3"/>
        <v>119115.911884</v>
      </c>
      <c r="F9" s="194">
        <f t="shared" si="3"/>
        <v>3428956.0583290001</v>
      </c>
      <c r="G9" s="194">
        <f t="shared" si="3"/>
        <v>10040</v>
      </c>
      <c r="H9" s="194">
        <f t="shared" si="3"/>
        <v>42387059.8627</v>
      </c>
      <c r="L9" s="191" t="s">
        <v>27</v>
      </c>
      <c r="M9" s="110">
        <v>172066.41</v>
      </c>
      <c r="N9" s="110">
        <v>0</v>
      </c>
      <c r="O9" s="110">
        <v>8580</v>
      </c>
      <c r="P9" s="110">
        <v>4258</v>
      </c>
      <c r="Q9" s="110"/>
      <c r="R9" s="110"/>
      <c r="S9" s="111">
        <v>184904.41</v>
      </c>
    </row>
    <row r="10" spans="1:19" ht="18" customHeight="1" x14ac:dyDescent="0.2">
      <c r="A10" s="157" t="s">
        <v>29</v>
      </c>
      <c r="B10" s="143">
        <f t="shared" si="1"/>
        <v>47000330.292913005</v>
      </c>
      <c r="C10" s="143">
        <v>0</v>
      </c>
      <c r="D10" s="143">
        <v>1055158.46</v>
      </c>
      <c r="E10" s="143">
        <v>119115.911884</v>
      </c>
      <c r="F10" s="143">
        <v>3428956.0583290001</v>
      </c>
      <c r="G10" s="143">
        <v>10040</v>
      </c>
      <c r="H10" s="143">
        <v>42387059.8627</v>
      </c>
      <c r="L10" s="191" t="s">
        <v>1</v>
      </c>
      <c r="M10" s="116">
        <v>172066.41</v>
      </c>
      <c r="N10" s="116">
        <v>0</v>
      </c>
      <c r="O10" s="116">
        <v>8580</v>
      </c>
      <c r="P10" s="116">
        <v>4258</v>
      </c>
      <c r="Q10" s="116">
        <v>0</v>
      </c>
      <c r="R10" s="116">
        <v>0</v>
      </c>
      <c r="S10" s="116">
        <v>184904.41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61760812.761955999</v>
      </c>
      <c r="C12" s="144">
        <f t="shared" ref="C12:G12" si="4">SUM(C13:C14)</f>
        <v>3674261.7924609999</v>
      </c>
      <c r="D12" s="144">
        <f t="shared" si="4"/>
        <v>13817850.351248</v>
      </c>
      <c r="E12" s="144">
        <f t="shared" si="4"/>
        <v>4752841.814084</v>
      </c>
      <c r="F12" s="144">
        <f t="shared" si="4"/>
        <v>23874502.617125999</v>
      </c>
      <c r="G12" s="144">
        <f t="shared" si="4"/>
        <v>108053.549784</v>
      </c>
      <c r="H12" s="144">
        <f>SUM(H13:H14)</f>
        <v>15533302.637252999</v>
      </c>
      <c r="L12" s="192" t="s">
        <v>25</v>
      </c>
      <c r="M12" s="122">
        <v>172066.41</v>
      </c>
      <c r="N12" s="122">
        <v>0</v>
      </c>
      <c r="O12" s="122">
        <v>8580</v>
      </c>
      <c r="P12" s="122">
        <v>4258</v>
      </c>
      <c r="Q12" s="122">
        <v>0</v>
      </c>
      <c r="R12" s="122">
        <v>0</v>
      </c>
      <c r="S12" s="189">
        <v>184904.41</v>
      </c>
    </row>
    <row r="13" spans="1:19" ht="18" customHeight="1" x14ac:dyDescent="0.2">
      <c r="A13" s="157" t="s">
        <v>29</v>
      </c>
      <c r="B13" s="143">
        <f t="shared" si="1"/>
        <v>58086550.969494998</v>
      </c>
      <c r="C13" s="143">
        <v>0</v>
      </c>
      <c r="D13" s="143">
        <v>13817850.351248</v>
      </c>
      <c r="E13" s="143">
        <v>4752841.814084</v>
      </c>
      <c r="F13" s="143">
        <v>23874502.617125999</v>
      </c>
      <c r="G13" s="143">
        <v>108053.549784</v>
      </c>
      <c r="H13" s="143">
        <f>15718207.047253-184904.41</f>
        <v>15533302.637252999</v>
      </c>
      <c r="I13" s="117"/>
    </row>
    <row r="14" spans="1:19" ht="18" customHeight="1" x14ac:dyDescent="0.2">
      <c r="A14" s="157" t="s">
        <v>48</v>
      </c>
      <c r="B14" s="143">
        <f t="shared" si="1"/>
        <v>3674261.7924609999</v>
      </c>
      <c r="C14" s="143">
        <v>3674261.7924609999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14779.38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10.693797412999999</v>
      </c>
      <c r="C17" s="172">
        <f t="shared" ref="C17:H17" si="5">SUM(C18:C19)</f>
        <v>3.7980412569999999</v>
      </c>
      <c r="D17" s="172">
        <f t="shared" si="5"/>
        <v>0.248954445</v>
      </c>
      <c r="E17" s="172">
        <f t="shared" si="5"/>
        <v>0</v>
      </c>
      <c r="F17" s="172">
        <f t="shared" si="5"/>
        <v>5.7978738429999996</v>
      </c>
      <c r="G17" s="172">
        <f t="shared" si="5"/>
        <v>4.0490314999999999E-2</v>
      </c>
      <c r="H17" s="173">
        <f t="shared" si="5"/>
        <v>0.80843755299999998</v>
      </c>
      <c r="J17" s="126">
        <v>3.7980412569999999</v>
      </c>
      <c r="K17" s="127" t="s">
        <v>57</v>
      </c>
      <c r="L17" s="128">
        <v>10.687738589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6.895756156</v>
      </c>
      <c r="C18" s="146">
        <v>0</v>
      </c>
      <c r="D18" s="146">
        <v>0.248954445</v>
      </c>
      <c r="E18" s="146">
        <v>0</v>
      </c>
      <c r="F18" s="146">
        <v>5.7978738429999996</v>
      </c>
      <c r="G18" s="146">
        <v>4.0490314999999999E-2</v>
      </c>
      <c r="H18" s="146">
        <v>0.80843755299999998</v>
      </c>
      <c r="J18" s="126">
        <f>6.894698093-L18</f>
        <v>6.8896973319999999</v>
      </c>
      <c r="K18" s="123" t="s">
        <v>60</v>
      </c>
      <c r="L18" s="128">
        <v>5.0007610000000003E-3</v>
      </c>
      <c r="M18" s="101" t="s">
        <v>59</v>
      </c>
    </row>
    <row r="19" spans="1:14" ht="18" customHeight="1" x14ac:dyDescent="0.2">
      <c r="A19" s="157" t="s">
        <v>48</v>
      </c>
      <c r="B19" s="161">
        <f>SUM(C19:H19)</f>
        <v>3.7980412569999999</v>
      </c>
      <c r="C19" s="161">
        <v>3.7980412569999999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6.058823999999241E-3</v>
      </c>
      <c r="K19" s="123" t="s">
        <v>58</v>
      </c>
      <c r="L19" s="131">
        <v>6.058824E-3</v>
      </c>
      <c r="M19" s="128">
        <f>J19-L19</f>
        <v>-7.589415207398531E-16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24149127.748930003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20965608.23356</v>
      </c>
      <c r="C22" s="147"/>
      <c r="D22" s="148"/>
      <c r="E22" s="147"/>
      <c r="F22" s="147"/>
      <c r="G22" s="147"/>
      <c r="H22" s="147"/>
      <c r="J22" s="105">
        <f>D29</f>
        <v>20965608.23356</v>
      </c>
      <c r="K22" s="123" t="s">
        <v>42</v>
      </c>
    </row>
    <row r="23" spans="1:14" ht="30.75" customHeight="1" x14ac:dyDescent="0.2">
      <c r="A23" s="162" t="s">
        <v>32</v>
      </c>
      <c r="B23" s="143">
        <v>422884.65811000002</v>
      </c>
      <c r="C23" s="149"/>
      <c r="D23" s="150"/>
      <c r="E23" s="151"/>
      <c r="F23" s="151"/>
      <c r="G23" s="151"/>
      <c r="H23" s="151"/>
      <c r="J23" s="105">
        <f>D34</f>
        <v>3183519.5153700002</v>
      </c>
      <c r="K23" s="123" t="s">
        <v>41</v>
      </c>
    </row>
    <row r="24" spans="1:14" ht="18" customHeight="1" x14ac:dyDescent="0.2">
      <c r="A24" s="176" t="s">
        <v>14</v>
      </c>
      <c r="B24" s="143">
        <v>2535367.3357600002</v>
      </c>
      <c r="C24" s="149"/>
      <c r="D24" s="150"/>
      <c r="E24" s="151"/>
      <c r="F24" s="151"/>
      <c r="G24" s="151"/>
      <c r="H24" s="151"/>
      <c r="J24" s="105"/>
      <c r="K24" s="123" t="s">
        <v>43</v>
      </c>
    </row>
    <row r="25" spans="1:14" ht="18" customHeight="1" x14ac:dyDescent="0.2">
      <c r="A25" s="157" t="s">
        <v>10</v>
      </c>
      <c r="B25" s="143">
        <v>225245.69750000001</v>
      </c>
      <c r="C25" s="149"/>
      <c r="D25" s="150"/>
      <c r="E25" s="151"/>
      <c r="F25" s="151"/>
      <c r="G25" s="151"/>
      <c r="H25" s="151"/>
      <c r="J25" s="108">
        <f>B21-J22-J23-J24</f>
        <v>3.7252902984619141E-9</v>
      </c>
    </row>
    <row r="26" spans="1:14" ht="18" customHeight="1" x14ac:dyDescent="0.2">
      <c r="A26" s="157" t="s">
        <v>12</v>
      </c>
      <c r="B26" s="143">
        <v>21.824000000000002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20965608.233560007</v>
      </c>
      <c r="C29" s="105">
        <f>B22-B29-J24</f>
        <v>-7.4505805969238281E-9</v>
      </c>
      <c r="D29" s="138">
        <v>20965608.23356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422884.65811000002</v>
      </c>
      <c r="C30" s="105">
        <f>B23-B30</f>
        <v>0</v>
      </c>
      <c r="D30" s="138">
        <v>422884.65811000002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2535367.3357600006</v>
      </c>
      <c r="C31" s="105">
        <f>B24-B31</f>
        <v>0</v>
      </c>
      <c r="D31" s="138">
        <v>2535367.3357600002</v>
      </c>
      <c r="E31" s="105">
        <f>B31-D31</f>
        <v>0</v>
      </c>
    </row>
    <row r="32" spans="1:14" hidden="1" x14ac:dyDescent="0.2">
      <c r="A32" s="188" t="s">
        <v>10</v>
      </c>
      <c r="B32" s="105">
        <v>225245.69749999998</v>
      </c>
      <c r="C32" s="105">
        <f>B25-B32</f>
        <v>0</v>
      </c>
      <c r="D32" s="138">
        <v>225245.69750000001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21.823999999843362</v>
      </c>
      <c r="C33" s="105">
        <f>B26-B33</f>
        <v>1.5663914609831409E-10</v>
      </c>
      <c r="D33" s="138">
        <v>21.824000000000002</v>
      </c>
      <c r="E33" s="105">
        <f>B33-D33</f>
        <v>-1.5663914609831409E-10</v>
      </c>
    </row>
    <row r="34" spans="1:5" hidden="1" x14ac:dyDescent="0.2">
      <c r="B34" s="105">
        <f>SUM(B30:B33)</f>
        <v>3183519.5153700006</v>
      </c>
      <c r="C34" s="105">
        <f>SUM(C29:C33)</f>
        <v>-7.293941450825514E-9</v>
      </c>
      <c r="D34" s="138">
        <f>SUM(D30:D33)</f>
        <v>3183519.5153700002</v>
      </c>
      <c r="E34" s="105">
        <f>SUM(E29:E33)</f>
        <v>-1.5663914609831409E-10</v>
      </c>
    </row>
    <row r="35" spans="1:5" hidden="1" x14ac:dyDescent="0.2">
      <c r="B35" s="139">
        <f>B34+B29+J24-B22</f>
        <v>3183519.5153700076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98ED-1836-4D14-8232-61EE0F455376}">
  <sheetPr>
    <tabColor rgb="FFCCCCFF"/>
    <pageSetUpPr fitToPage="1"/>
  </sheetPr>
  <dimension ref="A1:S42"/>
  <sheetViews>
    <sheetView zoomScale="87" zoomScaleNormal="87" workbookViewId="0">
      <selection activeCell="X6" sqref="W6:X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45689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103193081.44316101</v>
      </c>
      <c r="C6" s="166">
        <f t="shared" ref="C6:H6" si="0">C7+C8</f>
        <v>3421333.070024</v>
      </c>
      <c r="D6" s="166">
        <f t="shared" si="0"/>
        <v>15236861.738853998</v>
      </c>
      <c r="E6" s="166">
        <f t="shared" si="0"/>
        <v>3707020.6576490002</v>
      </c>
      <c r="F6" s="166">
        <f t="shared" si="0"/>
        <v>26605247.814436</v>
      </c>
      <c r="G6" s="166">
        <f t="shared" si="0"/>
        <v>148447.20199999999</v>
      </c>
      <c r="H6" s="174">
        <f t="shared" si="0"/>
        <v>54074170.960198015</v>
      </c>
      <c r="J6" s="153">
        <v>103411383.24316099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99771748.373137012</v>
      </c>
      <c r="C7" s="197">
        <f t="shared" ref="C7:H8" si="2">C10+C13</f>
        <v>0</v>
      </c>
      <c r="D7" s="197">
        <f t="shared" si="2"/>
        <v>15236861.738853998</v>
      </c>
      <c r="E7" s="197">
        <f t="shared" si="2"/>
        <v>3707020.6576490002</v>
      </c>
      <c r="F7" s="197">
        <f t="shared" si="2"/>
        <v>26605247.814436</v>
      </c>
      <c r="G7" s="197">
        <f t="shared" si="2"/>
        <v>148447.20199999999</v>
      </c>
      <c r="H7" s="197">
        <f t="shared" si="2"/>
        <v>54074170.960198015</v>
      </c>
      <c r="J7" s="108">
        <f>B6-J6+S12</f>
        <v>1.7869751900434494E-8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3421333.070024</v>
      </c>
      <c r="C8" s="145">
        <f t="shared" si="2"/>
        <v>3421333.070024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43725630.395700015</v>
      </c>
      <c r="C9" s="194">
        <f t="shared" ref="C9:H9" si="3">SUM(C10:C11)</f>
        <v>0</v>
      </c>
      <c r="D9" s="194">
        <f t="shared" si="3"/>
        <v>1036231.1</v>
      </c>
      <c r="E9" s="194">
        <f t="shared" si="3"/>
        <v>113862</v>
      </c>
      <c r="F9" s="194">
        <f t="shared" si="3"/>
        <v>3306730.9606999974</v>
      </c>
      <c r="G9" s="194">
        <f t="shared" si="3"/>
        <v>10640</v>
      </c>
      <c r="H9" s="194">
        <f t="shared" si="3"/>
        <v>39258166.335000016</v>
      </c>
      <c r="L9" s="191" t="s">
        <v>27</v>
      </c>
      <c r="M9" s="200">
        <v>200361.8</v>
      </c>
      <c r="N9" s="200">
        <v>0</v>
      </c>
      <c r="O9" s="200">
        <v>13218</v>
      </c>
      <c r="P9" s="200">
        <v>4722</v>
      </c>
      <c r="Q9" s="200"/>
      <c r="R9" s="200"/>
      <c r="S9" s="201">
        <v>218301.8</v>
      </c>
    </row>
    <row r="10" spans="1:19" ht="18" customHeight="1" x14ac:dyDescent="0.2">
      <c r="A10" s="157" t="s">
        <v>29</v>
      </c>
      <c r="B10" s="143">
        <f t="shared" si="1"/>
        <v>43725630.395700015</v>
      </c>
      <c r="C10" s="143">
        <v>0</v>
      </c>
      <c r="D10" s="143">
        <v>1036231.1</v>
      </c>
      <c r="E10" s="143">
        <v>113862</v>
      </c>
      <c r="F10" s="143">
        <v>3306730.9606999974</v>
      </c>
      <c r="G10" s="143">
        <v>10640</v>
      </c>
      <c r="H10" s="143">
        <v>39258166.335000016</v>
      </c>
      <c r="L10" s="191" t="s">
        <v>1</v>
      </c>
      <c r="M10" s="202">
        <v>200361.8</v>
      </c>
      <c r="N10" s="202">
        <v>0</v>
      </c>
      <c r="O10" s="202">
        <v>13218</v>
      </c>
      <c r="P10" s="202">
        <v>4722</v>
      </c>
      <c r="Q10" s="202">
        <v>0</v>
      </c>
      <c r="R10" s="202">
        <v>0</v>
      </c>
      <c r="S10" s="202">
        <v>218301.8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59467451.047461003</v>
      </c>
      <c r="C12" s="144">
        <f t="shared" ref="C12:G12" si="4">SUM(C13:C14)</f>
        <v>3421333.070024</v>
      </c>
      <c r="D12" s="144">
        <f t="shared" si="4"/>
        <v>14200630.638853999</v>
      </c>
      <c r="E12" s="144">
        <f t="shared" si="4"/>
        <v>3593158.6576490002</v>
      </c>
      <c r="F12" s="144">
        <f t="shared" si="4"/>
        <v>23298516.853736002</v>
      </c>
      <c r="G12" s="144">
        <f t="shared" si="4"/>
        <v>137807.20199999999</v>
      </c>
      <c r="H12" s="144">
        <f>SUM(H13:H14)</f>
        <v>14816004.625197999</v>
      </c>
      <c r="L12" s="192" t="s">
        <v>25</v>
      </c>
      <c r="M12" s="205">
        <v>200361.8</v>
      </c>
      <c r="N12" s="205">
        <v>0</v>
      </c>
      <c r="O12" s="205">
        <v>13218</v>
      </c>
      <c r="P12" s="205">
        <v>4722</v>
      </c>
      <c r="Q12" s="205">
        <v>0</v>
      </c>
      <c r="R12" s="205">
        <v>0</v>
      </c>
      <c r="S12" s="206">
        <v>218301.8</v>
      </c>
    </row>
    <row r="13" spans="1:19" ht="18" customHeight="1" x14ac:dyDescent="0.2">
      <c r="A13" s="157" t="s">
        <v>29</v>
      </c>
      <c r="B13" s="143">
        <f t="shared" si="1"/>
        <v>56046117.977437004</v>
      </c>
      <c r="C13" s="143">
        <v>0</v>
      </c>
      <c r="D13" s="143">
        <v>14200630.638853999</v>
      </c>
      <c r="E13" s="143">
        <v>3593158.6576490002</v>
      </c>
      <c r="F13" s="143">
        <v>23298516.853736002</v>
      </c>
      <c r="G13" s="143">
        <v>137807.20199999999</v>
      </c>
      <c r="H13" s="143">
        <f>15034306.425198-218301.8</f>
        <v>14816004.625197999</v>
      </c>
      <c r="I13" s="117"/>
    </row>
    <row r="14" spans="1:19" ht="18" customHeight="1" x14ac:dyDescent="0.2">
      <c r="A14" s="157" t="s">
        <v>48</v>
      </c>
      <c r="B14" s="143">
        <f t="shared" si="1"/>
        <v>3421333.070024</v>
      </c>
      <c r="C14" s="143">
        <v>3421333.070024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16424.260000000002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10.679070228</v>
      </c>
      <c r="C17" s="172">
        <f t="shared" ref="C17:H17" si="5">SUM(C18:C19)</f>
        <v>3.8844281789999999</v>
      </c>
      <c r="D17" s="172">
        <f t="shared" si="5"/>
        <v>0.25846295899999999</v>
      </c>
      <c r="E17" s="172">
        <f t="shared" si="5"/>
        <v>0</v>
      </c>
      <c r="F17" s="172">
        <f t="shared" si="5"/>
        <v>5.6640101569999999</v>
      </c>
      <c r="G17" s="172">
        <f t="shared" si="5"/>
        <v>5.7583121000000001E-2</v>
      </c>
      <c r="H17" s="173">
        <f t="shared" si="5"/>
        <v>0.81458581200000002</v>
      </c>
      <c r="J17" s="208">
        <v>6.7921412429999997</v>
      </c>
      <c r="K17" s="210" t="s">
        <v>57</v>
      </c>
      <c r="L17" s="128">
        <v>10.676569422</v>
      </c>
      <c r="M17" s="128">
        <f>B17-L17+L18-L19</f>
        <v>4.6664061503776111E-16</v>
      </c>
    </row>
    <row r="18" spans="1:14" ht="18" customHeight="1" x14ac:dyDescent="0.2">
      <c r="A18" s="160" t="s">
        <v>29</v>
      </c>
      <c r="B18" s="146">
        <f>SUM(C18:H18)</f>
        <v>6.7946420490000001</v>
      </c>
      <c r="C18" s="146">
        <v>0</v>
      </c>
      <c r="D18" s="146">
        <v>0.25846295899999999</v>
      </c>
      <c r="E18" s="146">
        <v>0</v>
      </c>
      <c r="F18" s="146">
        <v>5.6640101569999999</v>
      </c>
      <c r="G18" s="146">
        <v>5.7583121000000001E-2</v>
      </c>
      <c r="H18" s="146">
        <v>0.81458581200000002</v>
      </c>
      <c r="J18" s="208">
        <v>3.8844281789999999</v>
      </c>
      <c r="L18" s="128">
        <v>4.9991940000000002E-3</v>
      </c>
      <c r="M18" s="207">
        <v>60081</v>
      </c>
    </row>
    <row r="19" spans="1:14" ht="18" customHeight="1" x14ac:dyDescent="0.2">
      <c r="A19" s="157" t="s">
        <v>48</v>
      </c>
      <c r="B19" s="161">
        <f>SUM(C19:H19)</f>
        <v>3.8844281789999999</v>
      </c>
      <c r="C19" s="161">
        <v>3.8844281789999999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209">
        <f>B17-J17-J18-L19+L18</f>
        <v>9.1072982488782372E-16</v>
      </c>
      <c r="L19" s="131">
        <v>7.4999999999999997E-3</v>
      </c>
      <c r="M19" s="207" t="s">
        <v>58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4" ht="49.5" customHeight="1" thickBot="1" x14ac:dyDescent="0.25">
      <c r="A21" s="165" t="s">
        <v>55</v>
      </c>
      <c r="B21" s="166">
        <f>SUM(B22:B26)</f>
        <v>21283792.575949997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19559952.628908999</v>
      </c>
      <c r="C22" s="147"/>
      <c r="D22" s="148"/>
      <c r="E22" s="147"/>
      <c r="F22" s="147"/>
      <c r="G22" s="147"/>
      <c r="H22" s="147"/>
      <c r="J22" s="105">
        <f>D29</f>
        <v>19556157.628908999</v>
      </c>
      <c r="K22" s="123" t="s">
        <v>42</v>
      </c>
    </row>
    <row r="23" spans="1:14" ht="30.75" customHeight="1" x14ac:dyDescent="0.2">
      <c r="A23" s="162" t="s">
        <v>32</v>
      </c>
      <c r="B23" s="143">
        <v>423497.16104899999</v>
      </c>
      <c r="C23" s="149"/>
      <c r="D23" s="150"/>
      <c r="E23" s="151"/>
      <c r="F23" s="151"/>
      <c r="G23" s="151"/>
      <c r="H23" s="151"/>
      <c r="J23" s="105">
        <f>D34</f>
        <v>1723839.947041</v>
      </c>
      <c r="K23" s="123" t="s">
        <v>41</v>
      </c>
    </row>
    <row r="24" spans="1:14" ht="18" customHeight="1" x14ac:dyDescent="0.2">
      <c r="A24" s="176" t="s">
        <v>14</v>
      </c>
      <c r="B24" s="143">
        <v>1134406.823992</v>
      </c>
      <c r="C24" s="149"/>
      <c r="D24" s="150"/>
      <c r="E24" s="151"/>
      <c r="F24" s="151"/>
      <c r="G24" s="151"/>
      <c r="H24" s="151"/>
      <c r="J24" s="105">
        <v>3795</v>
      </c>
      <c r="K24" s="123" t="s">
        <v>43</v>
      </c>
    </row>
    <row r="25" spans="1:14" ht="18" customHeight="1" x14ac:dyDescent="0.2">
      <c r="A25" s="157" t="s">
        <v>10</v>
      </c>
      <c r="B25" s="143">
        <v>165935.88200000001</v>
      </c>
      <c r="C25" s="149"/>
      <c r="D25" s="150"/>
      <c r="E25" s="151"/>
      <c r="F25" s="151"/>
      <c r="G25" s="151"/>
      <c r="H25" s="151"/>
      <c r="J25" s="108">
        <f>B21-J22-J23-J24</f>
        <v>-2.5611370801925659E-9</v>
      </c>
    </row>
    <row r="26" spans="1:14" ht="18" customHeight="1" x14ac:dyDescent="0.2">
      <c r="A26" s="157" t="s">
        <v>12</v>
      </c>
      <c r="B26" s="143">
        <v>0.08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19556157.628909014</v>
      </c>
      <c r="C29" s="105">
        <f>B22-B29-J24</f>
        <v>-1.4901161193847656E-8</v>
      </c>
      <c r="D29" s="138">
        <v>19556157.628908999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423497.16104899999</v>
      </c>
      <c r="C30" s="105">
        <f>B23-B30</f>
        <v>0</v>
      </c>
      <c r="D30" s="138">
        <v>423497.16104899999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1134406.8239919986</v>
      </c>
      <c r="C31" s="105">
        <f>B24-B31</f>
        <v>0</v>
      </c>
      <c r="D31" s="138">
        <v>1134406.823992</v>
      </c>
      <c r="E31" s="105">
        <f>B31-D31</f>
        <v>0</v>
      </c>
    </row>
    <row r="32" spans="1:14" hidden="1" x14ac:dyDescent="0.2">
      <c r="A32" s="188" t="s">
        <v>10</v>
      </c>
      <c r="B32" s="105">
        <v>165935.88199999998</v>
      </c>
      <c r="C32" s="105">
        <f>B25-B32</f>
        <v>0</v>
      </c>
      <c r="D32" s="138">
        <v>165935.88200000001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8.0000000036307028E-2</v>
      </c>
      <c r="C33" s="105">
        <f>B26-B33</f>
        <v>-3.6307026829440758E-11</v>
      </c>
      <c r="D33" s="138">
        <v>0.08</v>
      </c>
      <c r="E33" s="105">
        <f>B33-D33</f>
        <v>3.6307026829440758E-11</v>
      </c>
    </row>
    <row r="34" spans="1:10" hidden="1" x14ac:dyDescent="0.2">
      <c r="B34" s="105">
        <f>SUM(B30:B33)</f>
        <v>1723839.9470409986</v>
      </c>
      <c r="C34" s="105">
        <f>SUM(C29:C33)</f>
        <v>-1.4937468220677097E-8</v>
      </c>
      <c r="D34" s="138">
        <f>SUM(D30:D33)</f>
        <v>1723839.947041</v>
      </c>
      <c r="E34" s="105">
        <f>SUM(E29:E33)</f>
        <v>3.6307026829440758E-11</v>
      </c>
      <c r="J34" s="132"/>
    </row>
    <row r="35" spans="1:10" hidden="1" x14ac:dyDescent="0.2">
      <c r="B35" s="139">
        <f>B34+B29+J24-B22</f>
        <v>1723839.9470410123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1BDB-4336-4429-A622-63E2F00DFBEF}">
  <sheetPr>
    <tabColor rgb="FFCCCCFF"/>
    <pageSetUpPr fitToPage="1"/>
  </sheetPr>
  <dimension ref="A1:T42"/>
  <sheetViews>
    <sheetView zoomScale="87" zoomScaleNormal="87" workbookViewId="0">
      <selection activeCell="X19" sqref="X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45717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97961157.240439996</v>
      </c>
      <c r="C6" s="166">
        <f t="shared" ref="C6:H6" si="0">C7+C8</f>
        <v>3620857.3701109998</v>
      </c>
      <c r="D6" s="166">
        <f t="shared" si="0"/>
        <v>13354653.643077001</v>
      </c>
      <c r="E6" s="166">
        <f t="shared" si="0"/>
        <v>4863557.9258989999</v>
      </c>
      <c r="F6" s="166">
        <f t="shared" si="0"/>
        <v>26029776.917708002</v>
      </c>
      <c r="G6" s="166">
        <f t="shared" si="0"/>
        <v>83506.167000000001</v>
      </c>
      <c r="H6" s="174">
        <f t="shared" si="0"/>
        <v>50008805.216644987</v>
      </c>
      <c r="J6" s="153">
        <v>98107227.240439981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94340299.870328993</v>
      </c>
      <c r="C7" s="197">
        <f t="shared" ref="C7:H8" si="2">C10+C13</f>
        <v>0</v>
      </c>
      <c r="D7" s="197">
        <f t="shared" si="2"/>
        <v>13354653.643077001</v>
      </c>
      <c r="E7" s="197">
        <f t="shared" si="2"/>
        <v>4863557.9258989999</v>
      </c>
      <c r="F7" s="197">
        <f t="shared" si="2"/>
        <v>26029776.917708002</v>
      </c>
      <c r="G7" s="197">
        <f t="shared" si="2"/>
        <v>83506.167000000001</v>
      </c>
      <c r="H7" s="197">
        <f t="shared" si="2"/>
        <v>50008805.216644987</v>
      </c>
      <c r="J7" s="108">
        <f>B6-J6+S12</f>
        <v>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3620857.3701109998</v>
      </c>
      <c r="C8" s="145">
        <f t="shared" si="2"/>
        <v>3620857.3701109998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40609443.642099991</v>
      </c>
      <c r="C9" s="194">
        <f t="shared" ref="C9:H9" si="3">SUM(C10:C11)</f>
        <v>0</v>
      </c>
      <c r="D9" s="194">
        <f t="shared" si="3"/>
        <v>924694.33399999992</v>
      </c>
      <c r="E9" s="194">
        <f t="shared" si="3"/>
        <v>82307</v>
      </c>
      <c r="F9" s="194">
        <f t="shared" si="3"/>
        <v>2958288.5722999992</v>
      </c>
      <c r="G9" s="194">
        <f t="shared" si="3"/>
        <v>7320</v>
      </c>
      <c r="H9" s="194">
        <f t="shared" si="3"/>
        <v>36636833.735799991</v>
      </c>
      <c r="L9" s="191" t="s">
        <v>27</v>
      </c>
      <c r="M9" s="200">
        <v>133266</v>
      </c>
      <c r="N9" s="200">
        <v>0</v>
      </c>
      <c r="O9" s="200">
        <v>9120</v>
      </c>
      <c r="P9" s="200">
        <v>3684</v>
      </c>
      <c r="Q9" s="200"/>
      <c r="R9" s="200"/>
      <c r="S9" s="201">
        <v>146070</v>
      </c>
    </row>
    <row r="10" spans="1:19" ht="18" customHeight="1" x14ac:dyDescent="0.2">
      <c r="A10" s="157" t="s">
        <v>29</v>
      </c>
      <c r="B10" s="143">
        <f t="shared" si="1"/>
        <v>40609443.642099991</v>
      </c>
      <c r="C10" s="143">
        <v>0</v>
      </c>
      <c r="D10" s="143">
        <v>924694.33399999992</v>
      </c>
      <c r="E10" s="143">
        <v>82307</v>
      </c>
      <c r="F10" s="143">
        <v>2958288.5722999992</v>
      </c>
      <c r="G10" s="143">
        <v>7320</v>
      </c>
      <c r="H10" s="143">
        <v>36636833.735799991</v>
      </c>
      <c r="L10" s="191" t="s">
        <v>1</v>
      </c>
      <c r="M10" s="202">
        <v>133266</v>
      </c>
      <c r="N10" s="202">
        <v>0</v>
      </c>
      <c r="O10" s="202">
        <v>9120</v>
      </c>
      <c r="P10" s="202">
        <v>3684</v>
      </c>
      <c r="Q10" s="202">
        <v>0</v>
      </c>
      <c r="R10" s="202">
        <v>0</v>
      </c>
      <c r="S10" s="202">
        <v>146070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57351713.598340005</v>
      </c>
      <c r="C12" s="144">
        <f t="shared" ref="C12:G12" si="4">SUM(C13:C14)</f>
        <v>3620857.3701109998</v>
      </c>
      <c r="D12" s="144">
        <f t="shared" si="4"/>
        <v>12429959.309077</v>
      </c>
      <c r="E12" s="144">
        <f t="shared" si="4"/>
        <v>4781250.9258989999</v>
      </c>
      <c r="F12" s="144">
        <f t="shared" si="4"/>
        <v>23071488.345408004</v>
      </c>
      <c r="G12" s="144">
        <f t="shared" si="4"/>
        <v>76186.167000000001</v>
      </c>
      <c r="H12" s="144">
        <f>SUM(H13:H14)</f>
        <v>13371971.480845001</v>
      </c>
      <c r="L12" s="192" t="s">
        <v>25</v>
      </c>
      <c r="M12" s="205">
        <v>133266</v>
      </c>
      <c r="N12" s="205">
        <v>0</v>
      </c>
      <c r="O12" s="205">
        <v>9120</v>
      </c>
      <c r="P12" s="205">
        <v>3684</v>
      </c>
      <c r="Q12" s="205">
        <v>0</v>
      </c>
      <c r="R12" s="205">
        <v>0</v>
      </c>
      <c r="S12" s="206">
        <v>146070</v>
      </c>
    </row>
    <row r="13" spans="1:19" ht="18" customHeight="1" x14ac:dyDescent="0.2">
      <c r="A13" s="157" t="s">
        <v>29</v>
      </c>
      <c r="B13" s="143">
        <f t="shared" si="1"/>
        <v>53730856.228229001</v>
      </c>
      <c r="C13" s="143">
        <v>0</v>
      </c>
      <c r="D13" s="143">
        <v>12429959.309077</v>
      </c>
      <c r="E13" s="143">
        <v>4781250.9258989999</v>
      </c>
      <c r="F13" s="143">
        <v>23071488.345408004</v>
      </c>
      <c r="G13" s="143">
        <v>76186.167000000001</v>
      </c>
      <c r="H13" s="143">
        <f>13518041.480845-146070</f>
        <v>13371971.480845001</v>
      </c>
      <c r="I13" s="117"/>
    </row>
    <row r="14" spans="1:19" ht="18" customHeight="1" x14ac:dyDescent="0.2">
      <c r="A14" s="157" t="s">
        <v>48</v>
      </c>
      <c r="B14" s="143">
        <f t="shared" si="1"/>
        <v>3620857.3701109998</v>
      </c>
      <c r="C14" s="143">
        <v>3620857.3701109998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10716.5969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3" ht="29.25" customHeight="1" thickBot="1" x14ac:dyDescent="0.25">
      <c r="A17" s="171" t="s">
        <v>53</v>
      </c>
      <c r="B17" s="172">
        <f>SUM(C17:H17)</f>
        <v>9.761036390000001</v>
      </c>
      <c r="C17" s="172">
        <f t="shared" ref="C17:H17" si="5">SUM(C18:C19)</f>
        <v>3.5338861339999998</v>
      </c>
      <c r="D17" s="172">
        <f t="shared" si="5"/>
        <v>0.24225880599999999</v>
      </c>
      <c r="E17" s="172">
        <f t="shared" si="5"/>
        <v>0</v>
      </c>
      <c r="F17" s="172">
        <f t="shared" si="5"/>
        <v>5.095686927</v>
      </c>
      <c r="G17" s="172">
        <f t="shared" si="5"/>
        <v>9.0883869000000006E-2</v>
      </c>
      <c r="H17" s="173">
        <f t="shared" si="5"/>
        <v>0.79832065399999996</v>
      </c>
      <c r="J17" s="128">
        <v>9.7576080629999993</v>
      </c>
      <c r="K17" s="211">
        <f>B17-J17+J18-J19</f>
        <v>1.7312540290248535E-15</v>
      </c>
      <c r="L17" s="210" t="s">
        <v>57</v>
      </c>
    </row>
    <row r="18" spans="1:13" ht="18" customHeight="1" x14ac:dyDescent="0.2">
      <c r="A18" s="160" t="s">
        <v>29</v>
      </c>
      <c r="B18" s="146">
        <f>SUM(C18:H18)</f>
        <v>6.2271502559999998</v>
      </c>
      <c r="C18" s="146">
        <v>0</v>
      </c>
      <c r="D18" s="146">
        <v>0.24225880599999999</v>
      </c>
      <c r="E18" s="146">
        <v>0</v>
      </c>
      <c r="F18" s="146">
        <v>5.095686927</v>
      </c>
      <c r="G18" s="146">
        <v>9.0883869000000006E-2</v>
      </c>
      <c r="H18" s="146">
        <v>0.79832065399999996</v>
      </c>
      <c r="J18" s="128">
        <v>5.000244E-3</v>
      </c>
      <c r="K18" s="207">
        <v>60081</v>
      </c>
    </row>
    <row r="19" spans="1:13" ht="18" customHeight="1" x14ac:dyDescent="0.2">
      <c r="A19" s="157" t="s">
        <v>48</v>
      </c>
      <c r="B19" s="161">
        <f>SUM(C19:H19)</f>
        <v>3.5338861339999998</v>
      </c>
      <c r="C19" s="161">
        <v>3.5338861339999998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8.4285709999999993E-3</v>
      </c>
      <c r="K19" s="207" t="s">
        <v>58</v>
      </c>
      <c r="L19" s="131"/>
    </row>
    <row r="20" spans="1:13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3" ht="49.5" customHeight="1" thickBot="1" x14ac:dyDescent="0.25">
      <c r="A21" s="165" t="s">
        <v>55</v>
      </c>
      <c r="B21" s="166">
        <f>SUM(B22:B26)</f>
        <v>26715372.684032999</v>
      </c>
      <c r="C21" s="167"/>
      <c r="D21" s="168"/>
      <c r="E21" s="169"/>
      <c r="F21" s="169"/>
      <c r="G21" s="169"/>
      <c r="H21" s="170"/>
      <c r="K21" s="199"/>
      <c r="L21" s="199"/>
      <c r="M21" s="105"/>
    </row>
    <row r="22" spans="1:13" ht="18" customHeight="1" x14ac:dyDescent="0.2">
      <c r="A22" s="160" t="s">
        <v>29</v>
      </c>
      <c r="B22" s="141">
        <v>24738022.992277998</v>
      </c>
      <c r="C22" s="147"/>
      <c r="D22" s="148"/>
      <c r="E22" s="147"/>
      <c r="F22" s="147"/>
      <c r="G22" s="147"/>
      <c r="H22" s="147"/>
      <c r="J22" s="105">
        <f>D29</f>
        <v>24690889.122278001</v>
      </c>
      <c r="K22" s="123" t="s">
        <v>42</v>
      </c>
    </row>
    <row r="23" spans="1:13" ht="30.75" customHeight="1" x14ac:dyDescent="0.2">
      <c r="A23" s="162" t="s">
        <v>32</v>
      </c>
      <c r="B23" s="143">
        <v>365566.403635</v>
      </c>
      <c r="C23" s="149"/>
      <c r="D23" s="150"/>
      <c r="E23" s="151"/>
      <c r="F23" s="151"/>
      <c r="G23" s="151"/>
      <c r="H23" s="151"/>
      <c r="J23" s="105">
        <f>D34</f>
        <v>1977349.6917549998</v>
      </c>
      <c r="K23" s="123" t="s">
        <v>41</v>
      </c>
    </row>
    <row r="24" spans="1:13" ht="18" customHeight="1" x14ac:dyDescent="0.2">
      <c r="A24" s="176" t="s">
        <v>14</v>
      </c>
      <c r="B24" s="143">
        <v>1206545.29262</v>
      </c>
      <c r="C24" s="149"/>
      <c r="D24" s="150"/>
      <c r="E24" s="151"/>
      <c r="F24" s="151"/>
      <c r="G24" s="151"/>
      <c r="H24" s="151"/>
      <c r="J24" s="105">
        <v>47133.87</v>
      </c>
      <c r="K24" s="123" t="s">
        <v>43</v>
      </c>
    </row>
    <row r="25" spans="1:13" ht="18" customHeight="1" x14ac:dyDescent="0.2">
      <c r="A25" s="157" t="s">
        <v>10</v>
      </c>
      <c r="B25" s="143">
        <v>176322.75949999999</v>
      </c>
      <c r="C25" s="149"/>
      <c r="D25" s="150"/>
      <c r="E25" s="151"/>
      <c r="F25" s="151"/>
      <c r="G25" s="151"/>
      <c r="H25" s="151"/>
      <c r="J25" s="108">
        <f>B21-J22-J23-J24</f>
        <v>-1.9863364286720753E-9</v>
      </c>
    </row>
    <row r="26" spans="1:13" ht="18" customHeight="1" x14ac:dyDescent="0.2">
      <c r="A26" s="157" t="s">
        <v>12</v>
      </c>
      <c r="B26" s="143">
        <v>228915.236</v>
      </c>
      <c r="C26" s="149"/>
      <c r="D26" s="151"/>
      <c r="E26" s="151"/>
      <c r="F26" s="151"/>
      <c r="G26" s="151"/>
      <c r="H26" s="151"/>
    </row>
    <row r="27" spans="1:13" hidden="1" x14ac:dyDescent="0.2">
      <c r="B27" s="133"/>
      <c r="C27" s="134"/>
    </row>
    <row r="28" spans="1:13" hidden="1" x14ac:dyDescent="0.2">
      <c r="A28" s="135"/>
      <c r="B28" s="105" t="s">
        <v>45</v>
      </c>
      <c r="C28" s="136"/>
      <c r="D28" s="137" t="s">
        <v>46</v>
      </c>
      <c r="E28" s="137"/>
    </row>
    <row r="29" spans="1:13" hidden="1" x14ac:dyDescent="0.2">
      <c r="A29" s="188" t="s">
        <v>29</v>
      </c>
      <c r="B29" s="105">
        <v>24690889.122278001</v>
      </c>
      <c r="C29" s="105">
        <f>B22-B29-J24</f>
        <v>-2.6848283596336842E-9</v>
      </c>
      <c r="D29" s="138">
        <v>24690889.122278001</v>
      </c>
      <c r="E29" s="105">
        <f>B29-D29</f>
        <v>0</v>
      </c>
      <c r="F29" s="133"/>
    </row>
    <row r="30" spans="1:13" hidden="1" x14ac:dyDescent="0.2">
      <c r="A30" s="188" t="s">
        <v>32</v>
      </c>
      <c r="B30" s="105">
        <v>365566.403635</v>
      </c>
      <c r="C30" s="105">
        <f>B23-B30</f>
        <v>0</v>
      </c>
      <c r="D30" s="138">
        <v>365566.403635</v>
      </c>
      <c r="E30" s="105">
        <f>B30-D30</f>
        <v>0</v>
      </c>
      <c r="F30" s="133"/>
    </row>
    <row r="31" spans="1:13" hidden="1" x14ac:dyDescent="0.2">
      <c r="A31" s="188" t="s">
        <v>14</v>
      </c>
      <c r="B31" s="105">
        <v>1206545.29262</v>
      </c>
      <c r="C31" s="105">
        <f>B24-B31</f>
        <v>0</v>
      </c>
      <c r="D31" s="138">
        <v>1206545.29262</v>
      </c>
      <c r="E31" s="105">
        <f>B31-D31</f>
        <v>0</v>
      </c>
    </row>
    <row r="32" spans="1:13" hidden="1" x14ac:dyDescent="0.2">
      <c r="A32" s="188" t="s">
        <v>10</v>
      </c>
      <c r="B32" s="105">
        <v>176322.75949999999</v>
      </c>
      <c r="C32" s="105">
        <f>B25-B32</f>
        <v>0</v>
      </c>
      <c r="D32" s="138">
        <v>176322.75949999999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228915.23599999998</v>
      </c>
      <c r="C33" s="105">
        <f>B26-B33</f>
        <v>0</v>
      </c>
      <c r="D33" s="138">
        <v>228915.236</v>
      </c>
      <c r="E33" s="105">
        <f>B33-D33</f>
        <v>0</v>
      </c>
    </row>
    <row r="34" spans="1:10" hidden="1" x14ac:dyDescent="0.2">
      <c r="B34" s="105">
        <f>SUM(B30:B33)</f>
        <v>1977349.6917549998</v>
      </c>
      <c r="C34" s="105">
        <f>SUM(C29:C33)</f>
        <v>-2.6848283596336842E-9</v>
      </c>
      <c r="D34" s="138">
        <f>SUM(D30:D33)</f>
        <v>1977349.6917549998</v>
      </c>
      <c r="E34" s="105">
        <f>SUM(E29:E33)</f>
        <v>0</v>
      </c>
      <c r="J34" s="132"/>
    </row>
    <row r="35" spans="1:10" hidden="1" x14ac:dyDescent="0.2">
      <c r="B35" s="139">
        <f>B34+B29+J24-B22</f>
        <v>1977349.6917550042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811-E51C-4AAA-8BE1-E548C1FB16A0}">
  <sheetPr>
    <tabColor rgb="FFCCCC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45748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89551183.314879984</v>
      </c>
      <c r="C6" s="166">
        <f t="shared" ref="C6:H6" si="0">C7+C8</f>
        <v>2409904.659711</v>
      </c>
      <c r="D6" s="166">
        <f t="shared" si="0"/>
        <v>11197461.985203</v>
      </c>
      <c r="E6" s="166">
        <f t="shared" si="0"/>
        <v>4458642.5903030001</v>
      </c>
      <c r="F6" s="166">
        <f t="shared" si="0"/>
        <v>23180764.756244</v>
      </c>
      <c r="G6" s="166">
        <f t="shared" si="0"/>
        <v>92407.516000000003</v>
      </c>
      <c r="H6" s="174">
        <f t="shared" si="0"/>
        <v>48212001.807418987</v>
      </c>
      <c r="J6" s="153">
        <v>89646148.314879969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87141278.65516898</v>
      </c>
      <c r="C7" s="197">
        <f t="shared" ref="C7:H8" si="2">C10+C13</f>
        <v>0</v>
      </c>
      <c r="D7" s="197">
        <f t="shared" si="2"/>
        <v>11197461.985203</v>
      </c>
      <c r="E7" s="197">
        <f t="shared" si="2"/>
        <v>4458642.5903030001</v>
      </c>
      <c r="F7" s="197">
        <f t="shared" si="2"/>
        <v>23180764.756244</v>
      </c>
      <c r="G7" s="197">
        <f t="shared" si="2"/>
        <v>92407.516000000003</v>
      </c>
      <c r="H7" s="197">
        <f t="shared" si="2"/>
        <v>48212001.807418987</v>
      </c>
      <c r="J7" s="108">
        <f>B6-J6+S12</f>
        <v>1.4915713109076023E-8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2409904.659711</v>
      </c>
      <c r="C8" s="145">
        <f t="shared" si="2"/>
        <v>2409904.659711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40612007.839999989</v>
      </c>
      <c r="C9" s="194">
        <f t="shared" ref="C9:H9" si="3">SUM(C10:C11)</f>
        <v>0</v>
      </c>
      <c r="D9" s="194">
        <f t="shared" si="3"/>
        <v>950784.91999999993</v>
      </c>
      <c r="E9" s="194">
        <f t="shared" si="3"/>
        <v>76757</v>
      </c>
      <c r="F9" s="194">
        <f t="shared" si="3"/>
        <v>3065081.9697999996</v>
      </c>
      <c r="G9" s="194">
        <f t="shared" si="3"/>
        <v>4120</v>
      </c>
      <c r="H9" s="194">
        <f t="shared" si="3"/>
        <v>36515263.950199991</v>
      </c>
      <c r="L9" s="191" t="s">
        <v>27</v>
      </c>
      <c r="M9" s="200">
        <v>86079</v>
      </c>
      <c r="N9" s="200">
        <v>0</v>
      </c>
      <c r="O9" s="200">
        <v>4338.0000000000109</v>
      </c>
      <c r="P9" s="200">
        <v>4548</v>
      </c>
      <c r="Q9" s="200"/>
      <c r="R9" s="200"/>
      <c r="S9" s="201">
        <v>94965.000000000015</v>
      </c>
    </row>
    <row r="10" spans="1:19" ht="18" customHeight="1" x14ac:dyDescent="0.2">
      <c r="A10" s="157" t="s">
        <v>29</v>
      </c>
      <c r="B10" s="143">
        <f t="shared" si="1"/>
        <v>40612007.839999989</v>
      </c>
      <c r="C10" s="143">
        <v>0</v>
      </c>
      <c r="D10" s="143">
        <v>950784.91999999993</v>
      </c>
      <c r="E10" s="143">
        <v>76757</v>
      </c>
      <c r="F10" s="143">
        <v>3065081.9697999996</v>
      </c>
      <c r="G10" s="143">
        <v>4120</v>
      </c>
      <c r="H10" s="143">
        <v>36515263.950199991</v>
      </c>
      <c r="L10" s="191" t="s">
        <v>1</v>
      </c>
      <c r="M10" s="202">
        <v>86079</v>
      </c>
      <c r="N10" s="202">
        <v>0</v>
      </c>
      <c r="O10" s="202">
        <v>4338.0000000000109</v>
      </c>
      <c r="P10" s="202">
        <v>4548</v>
      </c>
      <c r="Q10" s="202">
        <v>0</v>
      </c>
      <c r="R10" s="202">
        <v>0</v>
      </c>
      <c r="S10" s="202">
        <v>94965.000000000015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48939175.474879995</v>
      </c>
      <c r="C12" s="144">
        <f t="shared" ref="C12:G12" si="4">SUM(C13:C14)</f>
        <v>2409904.659711</v>
      </c>
      <c r="D12" s="144">
        <f t="shared" si="4"/>
        <v>10246677.065203</v>
      </c>
      <c r="E12" s="144">
        <f t="shared" si="4"/>
        <v>4381885.5903030001</v>
      </c>
      <c r="F12" s="144">
        <f t="shared" si="4"/>
        <v>20115682.786444001</v>
      </c>
      <c r="G12" s="144">
        <f t="shared" si="4"/>
        <v>88287.516000000003</v>
      </c>
      <c r="H12" s="144">
        <f>SUM(H13:H14)</f>
        <v>11696737.857218999</v>
      </c>
      <c r="L12" s="192" t="s">
        <v>25</v>
      </c>
      <c r="M12" s="205">
        <v>86079</v>
      </c>
      <c r="N12" s="205">
        <v>0</v>
      </c>
      <c r="O12" s="205">
        <v>4338.0000000000109</v>
      </c>
      <c r="P12" s="205">
        <v>4548</v>
      </c>
      <c r="Q12" s="205">
        <v>0</v>
      </c>
      <c r="R12" s="205">
        <v>0</v>
      </c>
      <c r="S12" s="206">
        <v>94965.000000000015</v>
      </c>
    </row>
    <row r="13" spans="1:19" ht="18" customHeight="1" x14ac:dyDescent="0.2">
      <c r="A13" s="157" t="s">
        <v>29</v>
      </c>
      <c r="B13" s="143">
        <f t="shared" si="1"/>
        <v>46529270.815169007</v>
      </c>
      <c r="C13" s="143">
        <v>0</v>
      </c>
      <c r="D13" s="143">
        <v>10246677.065203</v>
      </c>
      <c r="E13" s="143">
        <v>4381885.5903030001</v>
      </c>
      <c r="F13" s="143">
        <v>20115682.786444001</v>
      </c>
      <c r="G13" s="143">
        <v>88287.516000000003</v>
      </c>
      <c r="H13" s="143">
        <f>11791702.857219-94965</f>
        <v>11696737.857218999</v>
      </c>
      <c r="I13" s="117"/>
    </row>
    <row r="14" spans="1:19" ht="18" customHeight="1" x14ac:dyDescent="0.2">
      <c r="A14" s="157" t="s">
        <v>48</v>
      </c>
      <c r="B14" s="143">
        <f t="shared" si="1"/>
        <v>2409904.659711</v>
      </c>
      <c r="C14" s="143">
        <v>2409904.659711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8443.9779999999992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8.9792909830000003</v>
      </c>
      <c r="C17" s="172">
        <f t="shared" ref="C17:H17" si="5">SUM(C18:C19)</f>
        <v>2.8572975710000001</v>
      </c>
      <c r="D17" s="172">
        <f t="shared" si="5"/>
        <v>0.25060343600000001</v>
      </c>
      <c r="E17" s="172">
        <f t="shared" si="5"/>
        <v>0</v>
      </c>
      <c r="F17" s="172">
        <f t="shared" si="5"/>
        <v>5.163051726</v>
      </c>
      <c r="G17" s="172">
        <f t="shared" si="5"/>
        <v>5.4677585000000001E-2</v>
      </c>
      <c r="H17" s="173">
        <f t="shared" si="5"/>
        <v>0.65366066499999997</v>
      </c>
      <c r="J17" s="128">
        <v>8.9770189679999994</v>
      </c>
      <c r="K17" s="211">
        <f>B17-J17+J18-J19</f>
        <v>8.4914714149064707E-16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6.1219934120000001</v>
      </c>
      <c r="C18" s="146">
        <v>0</v>
      </c>
      <c r="D18" s="146">
        <v>0.25060343600000001</v>
      </c>
      <c r="E18" s="146">
        <v>0</v>
      </c>
      <c r="F18" s="146">
        <v>5.163051726</v>
      </c>
      <c r="G18" s="146">
        <v>5.4677585000000001E-2</v>
      </c>
      <c r="H18" s="146">
        <v>0.65366066499999997</v>
      </c>
      <c r="J18" s="128">
        <v>5.4098030000000004E-3</v>
      </c>
      <c r="K18" s="207">
        <v>60081</v>
      </c>
    </row>
    <row r="19" spans="1:15" ht="18" customHeight="1" x14ac:dyDescent="0.2">
      <c r="A19" s="157" t="s">
        <v>48</v>
      </c>
      <c r="B19" s="161">
        <f>SUM(C19:H19)</f>
        <v>2.8572975710000001</v>
      </c>
      <c r="C19" s="161">
        <v>2.8572975710000001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7.681818E-3</v>
      </c>
      <c r="K19" s="207" t="s">
        <v>58</v>
      </c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18987242.587170999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17540928.055574998</v>
      </c>
      <c r="C22" s="147"/>
      <c r="D22" s="148"/>
      <c r="E22" s="147"/>
      <c r="F22" s="147"/>
      <c r="G22" s="147"/>
      <c r="H22" s="147"/>
      <c r="J22" s="105">
        <f>D29</f>
        <v>17445853.625574999</v>
      </c>
      <c r="K22" s="123" t="s">
        <v>42</v>
      </c>
    </row>
    <row r="23" spans="1:15" ht="30.75" customHeight="1" x14ac:dyDescent="0.2">
      <c r="A23" s="162" t="s">
        <v>32</v>
      </c>
      <c r="B23" s="143">
        <v>368054.39813799999</v>
      </c>
      <c r="C23" s="149"/>
      <c r="D23" s="150"/>
      <c r="E23" s="151"/>
      <c r="F23" s="151"/>
      <c r="G23" s="151"/>
      <c r="H23" s="151"/>
      <c r="J23" s="105">
        <f>D34</f>
        <v>1446314.5315959998</v>
      </c>
      <c r="K23" s="123" t="s">
        <v>41</v>
      </c>
    </row>
    <row r="24" spans="1:15" ht="18" customHeight="1" x14ac:dyDescent="0.2">
      <c r="A24" s="176" t="s">
        <v>14</v>
      </c>
      <c r="B24" s="143">
        <v>1029844.084458</v>
      </c>
      <c r="C24" s="149"/>
      <c r="D24" s="150"/>
      <c r="E24" s="151"/>
      <c r="F24" s="151"/>
      <c r="G24" s="151"/>
      <c r="H24" s="151"/>
      <c r="J24" s="105">
        <v>95074.430000000008</v>
      </c>
      <c r="K24" s="123" t="s">
        <v>43</v>
      </c>
    </row>
    <row r="25" spans="1:15" ht="18" customHeight="1" x14ac:dyDescent="0.2">
      <c r="A25" s="157" t="s">
        <v>10</v>
      </c>
      <c r="B25" s="143">
        <v>10160.615</v>
      </c>
      <c r="C25" s="149"/>
      <c r="D25" s="150"/>
      <c r="E25" s="151"/>
      <c r="F25" s="151"/>
      <c r="G25" s="151"/>
      <c r="H25" s="151"/>
      <c r="J25" s="108">
        <f>B21-J22-J23-J24</f>
        <v>1.0913936421275139E-9</v>
      </c>
    </row>
    <row r="26" spans="1:15" ht="18" customHeight="1" x14ac:dyDescent="0.2">
      <c r="A26" s="157" t="s">
        <v>12</v>
      </c>
      <c r="B26" s="143">
        <v>38255.434000000001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17445853.62557501</v>
      </c>
      <c r="C29" s="105">
        <f>B22-B29-J24</f>
        <v>-1.1481461115181446E-8</v>
      </c>
      <c r="D29" s="138">
        <v>17445853.625574999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368054.39813799999</v>
      </c>
      <c r="C30" s="105">
        <f>B23-B30</f>
        <v>0</v>
      </c>
      <c r="D30" s="138">
        <v>368054.39813799999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1029844.0844579999</v>
      </c>
      <c r="C31" s="105">
        <f>B24-B31</f>
        <v>0</v>
      </c>
      <c r="D31" s="138">
        <v>1029844.084458</v>
      </c>
      <c r="E31" s="105">
        <f>B31-D31</f>
        <v>0</v>
      </c>
    </row>
    <row r="32" spans="1:15" hidden="1" x14ac:dyDescent="0.2">
      <c r="A32" s="188" t="s">
        <v>10</v>
      </c>
      <c r="B32" s="105">
        <v>10160.615000000002</v>
      </c>
      <c r="C32" s="105">
        <f>B25-B32</f>
        <v>0</v>
      </c>
      <c r="D32" s="138">
        <v>10160.615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38255.433999999994</v>
      </c>
      <c r="C33" s="105">
        <f>B26-B33</f>
        <v>0</v>
      </c>
      <c r="D33" s="138">
        <v>38255.434000000001</v>
      </c>
      <c r="E33" s="105">
        <f>B33-D33</f>
        <v>0</v>
      </c>
    </row>
    <row r="34" spans="1:10" hidden="1" x14ac:dyDescent="0.2">
      <c r="B34" s="105">
        <f>SUM(B30:B33)</f>
        <v>1446314.5315959998</v>
      </c>
      <c r="C34" s="105">
        <f>SUM(C29:C33)</f>
        <v>-1.1481461115181446E-8</v>
      </c>
      <c r="D34" s="138">
        <f>SUM(D30:D33)</f>
        <v>1446314.5315959998</v>
      </c>
      <c r="E34" s="105">
        <f>SUM(E29:E33)</f>
        <v>0</v>
      </c>
      <c r="J34" s="132"/>
    </row>
    <row r="35" spans="1:10" hidden="1" x14ac:dyDescent="0.2">
      <c r="B35" s="139">
        <f>B34+B29+J24-B22</f>
        <v>1446314.5315960124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6A1A-208B-4AD2-BC52-ECFFFFDA6AD9}">
  <sheetPr>
    <tabColor rgb="FFCCCCFF"/>
    <pageSetUpPr fitToPage="1"/>
  </sheetPr>
  <dimension ref="A1:T42"/>
  <sheetViews>
    <sheetView zoomScale="87" zoomScaleNormal="87" workbookViewId="0">
      <selection activeCell="AD22" sqref="AD22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45778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84169041.069371</v>
      </c>
      <c r="C6" s="166">
        <f t="shared" ref="C6:H6" si="0">C7+C8</f>
        <v>1872985.744319</v>
      </c>
      <c r="D6" s="166">
        <f t="shared" si="0"/>
        <v>9764107.1115390006</v>
      </c>
      <c r="E6" s="166">
        <f t="shared" si="0"/>
        <v>3442625.3627579999</v>
      </c>
      <c r="F6" s="166">
        <f t="shared" si="0"/>
        <v>22963924.561870001</v>
      </c>
      <c r="G6" s="166">
        <f t="shared" si="0"/>
        <v>69787.321823999999</v>
      </c>
      <c r="H6" s="174">
        <f t="shared" si="0"/>
        <v>46055610.967060998</v>
      </c>
      <c r="J6" s="153">
        <v>84199349.869370997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82296055.325051993</v>
      </c>
      <c r="C7" s="197">
        <f t="shared" ref="C7:H8" si="2">C10+C13</f>
        <v>0</v>
      </c>
      <c r="D7" s="197">
        <f t="shared" si="2"/>
        <v>9764107.1115390006</v>
      </c>
      <c r="E7" s="197">
        <f t="shared" si="2"/>
        <v>3442625.3627579999</v>
      </c>
      <c r="F7" s="197">
        <f t="shared" si="2"/>
        <v>22963924.561870001</v>
      </c>
      <c r="G7" s="197">
        <f t="shared" si="2"/>
        <v>69787.321823999999</v>
      </c>
      <c r="H7" s="197">
        <f t="shared" si="2"/>
        <v>46055610.967060998</v>
      </c>
      <c r="J7" s="108">
        <f>B6-J6+S12</f>
        <v>2.9795046430081129E-9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1872985.744319</v>
      </c>
      <c r="C8" s="145">
        <f t="shared" si="2"/>
        <v>1872985.744319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40462049.129701994</v>
      </c>
      <c r="C9" s="194">
        <f t="shared" ref="C9:H9" si="3">SUM(C10:C11)</f>
        <v>0</v>
      </c>
      <c r="D9" s="194">
        <f t="shared" si="3"/>
        <v>877025.7849999998</v>
      </c>
      <c r="E9" s="194">
        <f t="shared" si="3"/>
        <v>99945</v>
      </c>
      <c r="F9" s="194">
        <f t="shared" si="3"/>
        <v>3479210.4065019977</v>
      </c>
      <c r="G9" s="194">
        <f t="shared" si="3"/>
        <v>3000</v>
      </c>
      <c r="H9" s="194">
        <f t="shared" si="3"/>
        <v>36002867.938199997</v>
      </c>
      <c r="L9" s="191" t="s">
        <v>27</v>
      </c>
      <c r="M9" s="200">
        <v>25149.8</v>
      </c>
      <c r="N9" s="200">
        <v>0</v>
      </c>
      <c r="O9" s="200">
        <v>426</v>
      </c>
      <c r="P9" s="200">
        <v>4733</v>
      </c>
      <c r="Q9" s="200"/>
      <c r="R9" s="200"/>
      <c r="S9" s="201">
        <v>30308.799999999999</v>
      </c>
    </row>
    <row r="10" spans="1:19" ht="18" customHeight="1" x14ac:dyDescent="0.2">
      <c r="A10" s="157" t="s">
        <v>29</v>
      </c>
      <c r="B10" s="143">
        <f t="shared" si="1"/>
        <v>40462049.129701994</v>
      </c>
      <c r="C10" s="143">
        <v>0</v>
      </c>
      <c r="D10" s="143">
        <v>877025.7849999998</v>
      </c>
      <c r="E10" s="143">
        <v>99945</v>
      </c>
      <c r="F10" s="143">
        <v>3479210.4065019977</v>
      </c>
      <c r="G10" s="143">
        <v>3000</v>
      </c>
      <c r="H10" s="143">
        <v>36002867.938199997</v>
      </c>
      <c r="L10" s="191" t="s">
        <v>1</v>
      </c>
      <c r="M10" s="202">
        <v>25149.8</v>
      </c>
      <c r="N10" s="202">
        <v>0</v>
      </c>
      <c r="O10" s="202">
        <v>426</v>
      </c>
      <c r="P10" s="202">
        <v>4733</v>
      </c>
      <c r="Q10" s="202">
        <v>0</v>
      </c>
      <c r="R10" s="202">
        <v>0</v>
      </c>
      <c r="S10" s="202">
        <v>30308.799999999999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43706991.939669006</v>
      </c>
      <c r="C12" s="144">
        <f t="shared" ref="C12:G12" si="4">SUM(C13:C14)</f>
        <v>1872985.744319</v>
      </c>
      <c r="D12" s="144">
        <f t="shared" si="4"/>
        <v>8887081.3265390005</v>
      </c>
      <c r="E12" s="144">
        <f t="shared" si="4"/>
        <v>3342680.3627579999</v>
      </c>
      <c r="F12" s="144">
        <f t="shared" si="4"/>
        <v>19484714.155368004</v>
      </c>
      <c r="G12" s="144">
        <f t="shared" si="4"/>
        <v>66787.321823999999</v>
      </c>
      <c r="H12" s="144">
        <f>SUM(H13:H14)</f>
        <v>10052743.028860999</v>
      </c>
      <c r="L12" s="192" t="s">
        <v>25</v>
      </c>
      <c r="M12" s="205">
        <v>25149.8</v>
      </c>
      <c r="N12" s="205">
        <v>0</v>
      </c>
      <c r="O12" s="205">
        <v>426</v>
      </c>
      <c r="P12" s="205">
        <v>4733</v>
      </c>
      <c r="Q12" s="205">
        <v>0</v>
      </c>
      <c r="R12" s="205">
        <v>0</v>
      </c>
      <c r="S12" s="206">
        <v>30308.799999999999</v>
      </c>
    </row>
    <row r="13" spans="1:19" ht="18" customHeight="1" x14ac:dyDescent="0.2">
      <c r="A13" s="157" t="s">
        <v>29</v>
      </c>
      <c r="B13" s="143">
        <f t="shared" si="1"/>
        <v>41834006.195350006</v>
      </c>
      <c r="C13" s="143">
        <v>0</v>
      </c>
      <c r="D13" s="143">
        <v>8887081.3265390005</v>
      </c>
      <c r="E13" s="143">
        <v>3342680.3627579999</v>
      </c>
      <c r="F13" s="143">
        <v>19484714.155368004</v>
      </c>
      <c r="G13" s="143">
        <v>66787.321823999999</v>
      </c>
      <c r="H13" s="143">
        <f>10083051.828861-30308.8</f>
        <v>10052743.028860999</v>
      </c>
      <c r="I13" s="117"/>
    </row>
    <row r="14" spans="1:19" ht="18" customHeight="1" x14ac:dyDescent="0.2">
      <c r="A14" s="157" t="s">
        <v>48</v>
      </c>
      <c r="B14" s="143">
        <f t="shared" si="1"/>
        <v>1872985.744319</v>
      </c>
      <c r="C14" s="143">
        <v>1872985.744319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2409.33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8.1691117129999995</v>
      </c>
      <c r="C17" s="172">
        <f t="shared" ref="C17:H17" si="5">SUM(C18:C19)</f>
        <v>2.2430895679999998</v>
      </c>
      <c r="D17" s="172">
        <f>SUM(D18:D19)</f>
        <v>0.26477684299999998</v>
      </c>
      <c r="E17" s="172">
        <f t="shared" si="5"/>
        <v>0</v>
      </c>
      <c r="F17" s="172">
        <f t="shared" si="5"/>
        <v>5.1938955179999997</v>
      </c>
      <c r="G17" s="172">
        <f t="shared" si="5"/>
        <v>4.9862072E-2</v>
      </c>
      <c r="H17" s="173">
        <f t="shared" si="5"/>
        <v>0.41748771200000001</v>
      </c>
      <c r="J17" s="128">
        <v>8.1691117129999995</v>
      </c>
      <c r="K17" s="213">
        <f>B17-J17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5.9260221449999992</v>
      </c>
      <c r="C18" s="146">
        <v>0</v>
      </c>
      <c r="D18" s="146">
        <v>0.26477684299999998</v>
      </c>
      <c r="E18" s="146">
        <v>0</v>
      </c>
      <c r="F18" s="146">
        <v>5.1938955179999997</v>
      </c>
      <c r="G18" s="146">
        <v>4.9862072E-2</v>
      </c>
      <c r="H18" s="146">
        <v>0.41748771200000001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2.2430895679999998</v>
      </c>
      <c r="C19" s="161">
        <v>2.2430895679999998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19981819.665209003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18320394.651324</v>
      </c>
      <c r="C22" s="147"/>
      <c r="D22" s="148"/>
      <c r="E22" s="147"/>
      <c r="F22" s="147"/>
      <c r="G22" s="147"/>
      <c r="H22" s="147"/>
      <c r="J22" s="105">
        <f>D29</f>
        <v>18349191.051323999</v>
      </c>
      <c r="K22" s="123" t="s">
        <v>42</v>
      </c>
    </row>
    <row r="23" spans="1:15" ht="30.75" customHeight="1" x14ac:dyDescent="0.2">
      <c r="A23" s="162" t="s">
        <v>32</v>
      </c>
      <c r="B23" s="143">
        <v>359442.852097</v>
      </c>
      <c r="C23" s="149"/>
      <c r="D23" s="150"/>
      <c r="E23" s="151"/>
      <c r="F23" s="151"/>
      <c r="G23" s="151"/>
      <c r="H23" s="151"/>
      <c r="J23" s="105">
        <f>D34</f>
        <v>1661425.013885</v>
      </c>
      <c r="K23" s="123" t="s">
        <v>41</v>
      </c>
    </row>
    <row r="24" spans="1:15" ht="18" customHeight="1" x14ac:dyDescent="0.2">
      <c r="A24" s="176" t="s">
        <v>14</v>
      </c>
      <c r="B24" s="143">
        <v>1116664.979788</v>
      </c>
      <c r="C24" s="149"/>
      <c r="D24" s="150"/>
      <c r="E24" s="151"/>
      <c r="F24" s="151"/>
      <c r="G24" s="151"/>
      <c r="H24" s="151"/>
      <c r="J24" s="105">
        <v>-28796.400000000001</v>
      </c>
      <c r="K24" s="123" t="s">
        <v>43</v>
      </c>
    </row>
    <row r="25" spans="1:15" ht="18" customHeight="1" x14ac:dyDescent="0.2">
      <c r="A25" s="157" t="s">
        <v>10</v>
      </c>
      <c r="B25" s="143">
        <v>60080.381999999998</v>
      </c>
      <c r="C25" s="149"/>
      <c r="D25" s="150"/>
      <c r="E25" s="151"/>
      <c r="F25" s="151"/>
      <c r="G25" s="151"/>
      <c r="H25" s="151"/>
      <c r="J25" s="108">
        <f>B21-J22-J23-J24</f>
        <v>4.0527083911001682E-9</v>
      </c>
    </row>
    <row r="26" spans="1:15" ht="18" customHeight="1" x14ac:dyDescent="0.2">
      <c r="A26" s="157" t="s">
        <v>12</v>
      </c>
      <c r="B26" s="143">
        <v>125236.8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18349191.051324002</v>
      </c>
      <c r="C29" s="105">
        <f>B22-B29-J24</f>
        <v>-2.2337189875543118E-9</v>
      </c>
      <c r="D29" s="138">
        <v>18349191.051323999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359442.852097</v>
      </c>
      <c r="C30" s="105">
        <f>B23-B30</f>
        <v>0</v>
      </c>
      <c r="D30" s="138">
        <v>359442.852097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1116664.979788</v>
      </c>
      <c r="C31" s="105">
        <f>B24-B31</f>
        <v>0</v>
      </c>
      <c r="D31" s="138">
        <v>1116664.979788</v>
      </c>
      <c r="E31" s="105">
        <f>B31-D31</f>
        <v>0</v>
      </c>
    </row>
    <row r="32" spans="1:15" hidden="1" x14ac:dyDescent="0.2">
      <c r="A32" s="188" t="s">
        <v>10</v>
      </c>
      <c r="B32" s="105">
        <v>60080.382000000012</v>
      </c>
      <c r="C32" s="105">
        <f>B25-B32</f>
        <v>0</v>
      </c>
      <c r="D32" s="138">
        <v>60080.381999999998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125236.80000000002</v>
      </c>
      <c r="C33" s="105">
        <f>B26-B33</f>
        <v>0</v>
      </c>
      <c r="D33" s="138">
        <v>125236.8</v>
      </c>
      <c r="E33" s="105">
        <f>B33-D33</f>
        <v>0</v>
      </c>
    </row>
    <row r="34" spans="1:10" hidden="1" x14ac:dyDescent="0.2">
      <c r="B34" s="105">
        <f>SUM(B30:B33)</f>
        <v>1661425.013885</v>
      </c>
      <c r="C34" s="105">
        <f>SUM(C29:C33)</f>
        <v>-2.2337189875543118E-9</v>
      </c>
      <c r="D34" s="138">
        <f>SUM(D30:D33)</f>
        <v>1661425.013885</v>
      </c>
      <c r="E34" s="105">
        <f>SUM(E29:E33)</f>
        <v>0</v>
      </c>
      <c r="J34" s="132"/>
    </row>
    <row r="35" spans="1:10" hidden="1" x14ac:dyDescent="0.2">
      <c r="B35" s="139">
        <f>B34+B29+J24-B22</f>
        <v>1661425.0138850026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21C-367A-41FC-B12B-DCFB9A4C0D51}">
  <sheetPr>
    <tabColor rgb="FFCCCCFF"/>
    <pageSetUpPr fitToPage="1"/>
  </sheetPr>
  <dimension ref="A1:S42"/>
  <sheetViews>
    <sheetView zoomScale="87" zoomScaleNormal="87" workbookViewId="0">
      <selection activeCell="AF16" sqref="AF1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45809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81168811.685509995</v>
      </c>
      <c r="C6" s="166">
        <f t="shared" ref="C6:H6" si="0">C7+C8</f>
        <v>1671083.746855</v>
      </c>
      <c r="D6" s="166">
        <f t="shared" si="0"/>
        <v>9678638.9766039997</v>
      </c>
      <c r="E6" s="166">
        <f t="shared" si="0"/>
        <v>3413933.412066</v>
      </c>
      <c r="F6" s="166">
        <f t="shared" si="0"/>
        <v>22462475.777533002</v>
      </c>
      <c r="G6" s="166">
        <f t="shared" si="0"/>
        <v>70963.425344999996</v>
      </c>
      <c r="H6" s="174">
        <f t="shared" si="0"/>
        <v>43871716.347106993</v>
      </c>
      <c r="J6" s="153">
        <v>81190019.68551001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79497727.938654989</v>
      </c>
      <c r="C7" s="197">
        <f t="shared" ref="C7:H8" si="2">C10+C13</f>
        <v>0</v>
      </c>
      <c r="D7" s="197">
        <f t="shared" si="2"/>
        <v>9678638.9766039997</v>
      </c>
      <c r="E7" s="197">
        <f t="shared" si="2"/>
        <v>3413933.412066</v>
      </c>
      <c r="F7" s="197">
        <f t="shared" si="2"/>
        <v>22462475.777533002</v>
      </c>
      <c r="G7" s="197">
        <f t="shared" si="2"/>
        <v>70963.425344999996</v>
      </c>
      <c r="H7" s="197">
        <f t="shared" si="2"/>
        <v>43871716.347106993</v>
      </c>
      <c r="J7" s="108">
        <f>B6-J6+S12</f>
        <v>-1.4901161193847656E-8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1671083.746855</v>
      </c>
      <c r="C8" s="145">
        <f t="shared" si="2"/>
        <v>1671083.746855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39074597.731299989</v>
      </c>
      <c r="C9" s="194">
        <f t="shared" ref="C9:H9" si="3">SUM(C10:C11)</f>
        <v>0</v>
      </c>
      <c r="D9" s="194">
        <f t="shared" si="3"/>
        <v>859750.05900000012</v>
      </c>
      <c r="E9" s="194">
        <f t="shared" si="3"/>
        <v>102582</v>
      </c>
      <c r="F9" s="194">
        <f t="shared" si="3"/>
        <v>3364092.5638000024</v>
      </c>
      <c r="G9" s="194">
        <f t="shared" si="3"/>
        <v>2200</v>
      </c>
      <c r="H9" s="194">
        <f t="shared" si="3"/>
        <v>34745973.108499989</v>
      </c>
      <c r="L9" s="191" t="s">
        <v>27</v>
      </c>
      <c r="M9" s="200">
        <v>16041</v>
      </c>
      <c r="N9" s="200">
        <v>0</v>
      </c>
      <c r="O9" s="200">
        <v>390</v>
      </c>
      <c r="P9" s="200">
        <v>4777</v>
      </c>
      <c r="Q9" s="200"/>
      <c r="R9" s="200"/>
      <c r="S9" s="201">
        <v>21208</v>
      </c>
    </row>
    <row r="10" spans="1:19" ht="18" customHeight="1" x14ac:dyDescent="0.2">
      <c r="A10" s="157" t="s">
        <v>29</v>
      </c>
      <c r="B10" s="143">
        <f t="shared" si="1"/>
        <v>39074597.731299989</v>
      </c>
      <c r="C10" s="143">
        <v>0</v>
      </c>
      <c r="D10" s="143">
        <v>859750.05900000012</v>
      </c>
      <c r="E10" s="143">
        <v>102582</v>
      </c>
      <c r="F10" s="143">
        <v>3364092.5638000024</v>
      </c>
      <c r="G10" s="143">
        <v>2200</v>
      </c>
      <c r="H10" s="143">
        <v>34745973.108499989</v>
      </c>
      <c r="L10" s="191" t="s">
        <v>1</v>
      </c>
      <c r="M10" s="202">
        <v>16041</v>
      </c>
      <c r="N10" s="202">
        <v>0</v>
      </c>
      <c r="O10" s="202">
        <v>390</v>
      </c>
      <c r="P10" s="202">
        <v>4777</v>
      </c>
      <c r="Q10" s="202">
        <v>0</v>
      </c>
      <c r="R10" s="202">
        <v>0</v>
      </c>
      <c r="S10" s="202">
        <v>21208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42094213.954209998</v>
      </c>
      <c r="C12" s="144">
        <f t="shared" ref="C12:G12" si="4">SUM(C13:C14)</f>
        <v>1671083.746855</v>
      </c>
      <c r="D12" s="144">
        <f t="shared" si="4"/>
        <v>8818888.9176039994</v>
      </c>
      <c r="E12" s="144">
        <f t="shared" si="4"/>
        <v>3311351.412066</v>
      </c>
      <c r="F12" s="144">
        <f t="shared" si="4"/>
        <v>19098383.213732999</v>
      </c>
      <c r="G12" s="144">
        <f t="shared" si="4"/>
        <v>68763.425344999996</v>
      </c>
      <c r="H12" s="144">
        <f>SUM(H13:H14)</f>
        <v>9125743.2386070006</v>
      </c>
      <c r="L12" s="192" t="s">
        <v>25</v>
      </c>
      <c r="M12" s="205">
        <v>16041</v>
      </c>
      <c r="N12" s="205">
        <v>0</v>
      </c>
      <c r="O12" s="205">
        <v>390</v>
      </c>
      <c r="P12" s="205">
        <v>4777</v>
      </c>
      <c r="Q12" s="205">
        <v>0</v>
      </c>
      <c r="R12" s="205">
        <v>0</v>
      </c>
      <c r="S12" s="206">
        <v>21208</v>
      </c>
    </row>
    <row r="13" spans="1:19" ht="18" customHeight="1" x14ac:dyDescent="0.2">
      <c r="A13" s="157" t="s">
        <v>29</v>
      </c>
      <c r="B13" s="143">
        <f t="shared" si="1"/>
        <v>40423130.207355</v>
      </c>
      <c r="C13" s="143">
        <v>0</v>
      </c>
      <c r="D13" s="143">
        <v>8818888.9176039994</v>
      </c>
      <c r="E13" s="143">
        <v>3311351.412066</v>
      </c>
      <c r="F13" s="143">
        <v>19098383.213732999</v>
      </c>
      <c r="G13" s="143">
        <v>68763.425344999996</v>
      </c>
      <c r="H13" s="143">
        <f>9146951.238607-21208</f>
        <v>9125743.2386070006</v>
      </c>
      <c r="I13" s="117"/>
    </row>
    <row r="14" spans="1:19" ht="18" customHeight="1" x14ac:dyDescent="0.2">
      <c r="A14" s="157" t="s">
        <v>48</v>
      </c>
      <c r="B14" s="143">
        <f t="shared" si="1"/>
        <v>1671083.746855</v>
      </c>
      <c r="C14" s="143">
        <v>1671083.746855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1833.0277000000001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8.4469140080000003</v>
      </c>
      <c r="C17" s="172">
        <f t="shared" ref="C17:H17" si="5">SUM(C18:C19)</f>
        <v>2.1093801870000002</v>
      </c>
      <c r="D17" s="172">
        <f>SUM(D18:D19)</f>
        <v>0.26108687899999999</v>
      </c>
      <c r="E17" s="172">
        <f t="shared" si="5"/>
        <v>0</v>
      </c>
      <c r="F17" s="172">
        <f t="shared" si="5"/>
        <v>5.5843109970000002</v>
      </c>
      <c r="G17" s="172">
        <f t="shared" si="5"/>
        <v>4.9788814000000001E-2</v>
      </c>
      <c r="H17" s="173">
        <f t="shared" si="5"/>
        <v>0.442347131</v>
      </c>
      <c r="J17" s="128">
        <v>8446.9140079999979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6.3375338210000001</v>
      </c>
      <c r="C18" s="146">
        <v>0</v>
      </c>
      <c r="D18" s="146">
        <v>0.26108687899999999</v>
      </c>
      <c r="E18" s="146">
        <v>0</v>
      </c>
      <c r="F18" s="146">
        <v>5.5843109970000002</v>
      </c>
      <c r="G18" s="146">
        <v>4.9788814000000001E-2</v>
      </c>
      <c r="H18" s="146">
        <v>0.442347131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2.1093801870000002</v>
      </c>
      <c r="C19" s="161">
        <v>2.1093801870000002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14786190.408604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13367697.719672</v>
      </c>
      <c r="C22" s="147"/>
      <c r="D22" s="148"/>
      <c r="E22" s="147"/>
      <c r="F22" s="147"/>
      <c r="G22" s="147"/>
      <c r="H22" s="147"/>
      <c r="J22" s="105">
        <f>D29</f>
        <v>13085037.802672001</v>
      </c>
      <c r="K22" s="123" t="s">
        <v>42</v>
      </c>
    </row>
    <row r="23" spans="1:15" ht="30.75" customHeight="1" x14ac:dyDescent="0.2">
      <c r="A23" s="162" t="s">
        <v>32</v>
      </c>
      <c r="B23" s="143">
        <v>335917.06614800001</v>
      </c>
      <c r="C23" s="149"/>
      <c r="D23" s="150"/>
      <c r="E23" s="151"/>
      <c r="F23" s="151"/>
      <c r="G23" s="151"/>
      <c r="H23" s="151"/>
      <c r="J23" s="105">
        <f>D34</f>
        <v>1418492.688932</v>
      </c>
      <c r="K23" s="123" t="s">
        <v>41</v>
      </c>
    </row>
    <row r="24" spans="1:15" ht="18" customHeight="1" x14ac:dyDescent="0.2">
      <c r="A24" s="176" t="s">
        <v>14</v>
      </c>
      <c r="B24" s="143">
        <v>938952.54768399999</v>
      </c>
      <c r="C24" s="149"/>
      <c r="D24" s="150"/>
      <c r="E24" s="151"/>
      <c r="F24" s="151"/>
      <c r="G24" s="151"/>
      <c r="H24" s="151"/>
      <c r="J24" s="105">
        <v>282659.91700000002</v>
      </c>
      <c r="K24" s="123" t="s">
        <v>43</v>
      </c>
    </row>
    <row r="25" spans="1:15" ht="18" customHeight="1" x14ac:dyDescent="0.2">
      <c r="A25" s="157" t="s">
        <v>10</v>
      </c>
      <c r="B25" s="143">
        <v>70126.363100000002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5" ht="18" customHeight="1" x14ac:dyDescent="0.2">
      <c r="A26" s="157" t="s">
        <v>12</v>
      </c>
      <c r="B26" s="143">
        <v>73496.712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13085037.802672016</v>
      </c>
      <c r="C29" s="105">
        <f>B22-B29-J24</f>
        <v>-1.548323780298233E-8</v>
      </c>
      <c r="D29" s="138">
        <v>13085037.802672001</v>
      </c>
      <c r="E29" s="105">
        <f>B29-D29</f>
        <v>1.4901161193847656E-8</v>
      </c>
      <c r="F29" s="133"/>
    </row>
    <row r="30" spans="1:15" hidden="1" x14ac:dyDescent="0.2">
      <c r="A30" s="188" t="s">
        <v>32</v>
      </c>
      <c r="B30" s="105">
        <v>335917.06614800001</v>
      </c>
      <c r="C30" s="105">
        <f>B23-B30</f>
        <v>0</v>
      </c>
      <c r="D30" s="138">
        <v>335917.06614800001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938952.54768399999</v>
      </c>
      <c r="C31" s="105">
        <f>B24-B31</f>
        <v>0</v>
      </c>
      <c r="D31" s="138">
        <v>938952.54768399999</v>
      </c>
      <c r="E31" s="105">
        <f>B31-D31</f>
        <v>0</v>
      </c>
    </row>
    <row r="32" spans="1:15" hidden="1" x14ac:dyDescent="0.2">
      <c r="A32" s="188" t="s">
        <v>10</v>
      </c>
      <c r="B32" s="105">
        <v>70126.363100000002</v>
      </c>
      <c r="C32" s="105">
        <f>B25-B32</f>
        <v>0</v>
      </c>
      <c r="D32" s="138">
        <v>70126.363100000002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73496.712000000029</v>
      </c>
      <c r="C33" s="105">
        <f>B26-B33</f>
        <v>0</v>
      </c>
      <c r="D33" s="138">
        <v>73496.712</v>
      </c>
      <c r="E33" s="105">
        <f>B33-D33</f>
        <v>0</v>
      </c>
    </row>
    <row r="34" spans="1:10" hidden="1" x14ac:dyDescent="0.2">
      <c r="B34" s="105">
        <f>SUM(B30:B33)</f>
        <v>1418492.688932</v>
      </c>
      <c r="C34" s="105">
        <f>SUM(C29:C33)</f>
        <v>-1.548323780298233E-8</v>
      </c>
      <c r="D34" s="138">
        <f>SUM(D30:D33)</f>
        <v>1418492.688932</v>
      </c>
      <c r="E34" s="105">
        <f>SUM(E29:E33)</f>
        <v>1.4901161193847656E-8</v>
      </c>
      <c r="J34" s="132"/>
    </row>
    <row r="35" spans="1:10" hidden="1" x14ac:dyDescent="0.2">
      <c r="B35" s="139">
        <f>B34+B29+J24-B22</f>
        <v>1418492.6889320146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432-65E1-4769-A704-A04F95BC9D59}">
  <sheetPr>
    <tabColor rgb="FFCCCCFF"/>
    <pageSetUpPr fitToPage="1"/>
  </sheetPr>
  <dimension ref="A1:S43"/>
  <sheetViews>
    <sheetView zoomScale="87" zoomScaleNormal="87" workbookViewId="0">
      <selection activeCell="U19" sqref="U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45839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83321745.540431991</v>
      </c>
      <c r="C6" s="166">
        <f t="shared" ref="C6:H6" si="0">C7+C8</f>
        <v>1968420.8774069999</v>
      </c>
      <c r="D6" s="166">
        <f t="shared" si="0"/>
        <v>10767784.569815999</v>
      </c>
      <c r="E6" s="166">
        <f t="shared" si="0"/>
        <v>3109509.809076</v>
      </c>
      <c r="F6" s="166">
        <f t="shared" si="0"/>
        <v>24012376.729671001</v>
      </c>
      <c r="G6" s="166">
        <f t="shared" si="0"/>
        <v>77700.596051999994</v>
      </c>
      <c r="H6" s="174">
        <f t="shared" si="0"/>
        <v>43385952.958409995</v>
      </c>
      <c r="J6" s="153">
        <v>83345032.540432021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81353324.663024992</v>
      </c>
      <c r="C7" s="197">
        <f t="shared" ref="C7:H8" si="2">C10+C13</f>
        <v>0</v>
      </c>
      <c r="D7" s="197">
        <f t="shared" si="2"/>
        <v>10767784.569815999</v>
      </c>
      <c r="E7" s="197">
        <f t="shared" si="2"/>
        <v>3109509.809076</v>
      </c>
      <c r="F7" s="197">
        <f t="shared" si="2"/>
        <v>24012376.729671001</v>
      </c>
      <c r="G7" s="197">
        <f t="shared" si="2"/>
        <v>77700.596051999994</v>
      </c>
      <c r="H7" s="197">
        <f t="shared" si="2"/>
        <v>43385952.958409995</v>
      </c>
      <c r="J7" s="108">
        <f>B6-J6+S12</f>
        <v>-2.9802322387695313E-8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1968420.8774069999</v>
      </c>
      <c r="C8" s="145">
        <f t="shared" si="2"/>
        <v>1968420.8774069999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37859652.824299999</v>
      </c>
      <c r="C9" s="194">
        <f t="shared" ref="C9:H9" si="3">SUM(C10:C11)</f>
        <v>0</v>
      </c>
      <c r="D9" s="194">
        <f t="shared" si="3"/>
        <v>885182.8139999999</v>
      </c>
      <c r="E9" s="194">
        <f t="shared" si="3"/>
        <v>94759</v>
      </c>
      <c r="F9" s="194">
        <f t="shared" si="3"/>
        <v>3439205.5285000014</v>
      </c>
      <c r="G9" s="194">
        <f t="shared" si="3"/>
        <v>2640</v>
      </c>
      <c r="H9" s="194">
        <f t="shared" si="3"/>
        <v>33437865.481799997</v>
      </c>
      <c r="L9" s="191" t="s">
        <v>27</v>
      </c>
      <c r="M9" s="200">
        <v>18182</v>
      </c>
      <c r="N9" s="200">
        <v>0</v>
      </c>
      <c r="O9" s="200">
        <v>522</v>
      </c>
      <c r="P9" s="200">
        <v>4583</v>
      </c>
      <c r="Q9" s="200"/>
      <c r="R9" s="200"/>
      <c r="S9" s="201">
        <v>23287</v>
      </c>
    </row>
    <row r="10" spans="1:19" ht="18" customHeight="1" x14ac:dyDescent="0.2">
      <c r="A10" s="157" t="s">
        <v>29</v>
      </c>
      <c r="B10" s="143">
        <f t="shared" si="1"/>
        <v>37859652.824299999</v>
      </c>
      <c r="C10" s="143">
        <v>0</v>
      </c>
      <c r="D10" s="143">
        <v>885182.8139999999</v>
      </c>
      <c r="E10" s="143">
        <v>94759</v>
      </c>
      <c r="F10" s="143">
        <v>3439205.5285000014</v>
      </c>
      <c r="G10" s="143">
        <v>2640</v>
      </c>
      <c r="H10" s="143">
        <v>33437865.481799997</v>
      </c>
      <c r="L10" s="191" t="s">
        <v>1</v>
      </c>
      <c r="M10" s="202">
        <v>18182</v>
      </c>
      <c r="N10" s="202">
        <v>0</v>
      </c>
      <c r="O10" s="202">
        <v>522</v>
      </c>
      <c r="P10" s="202">
        <v>4583</v>
      </c>
      <c r="Q10" s="202">
        <v>0</v>
      </c>
      <c r="R10" s="202">
        <v>0</v>
      </c>
      <c r="S10" s="202">
        <v>23287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45462092.716131993</v>
      </c>
      <c r="C12" s="144">
        <f t="shared" ref="C12:G12" si="4">SUM(C13:C14)</f>
        <v>1968420.8774069999</v>
      </c>
      <c r="D12" s="144">
        <f t="shared" si="4"/>
        <v>9882601.7558159996</v>
      </c>
      <c r="E12" s="144">
        <f t="shared" si="4"/>
        <v>3014750.809076</v>
      </c>
      <c r="F12" s="144">
        <f t="shared" si="4"/>
        <v>20573171.201171</v>
      </c>
      <c r="G12" s="144">
        <f t="shared" si="4"/>
        <v>75060.596051999994</v>
      </c>
      <c r="H12" s="144">
        <f>SUM(H13:H14)</f>
        <v>9948087.4766099993</v>
      </c>
      <c r="L12" s="192" t="s">
        <v>25</v>
      </c>
      <c r="M12" s="205">
        <v>18182</v>
      </c>
      <c r="N12" s="205">
        <v>0</v>
      </c>
      <c r="O12" s="205">
        <v>522</v>
      </c>
      <c r="P12" s="205">
        <v>4583</v>
      </c>
      <c r="Q12" s="205">
        <v>0</v>
      </c>
      <c r="R12" s="205">
        <v>0</v>
      </c>
      <c r="S12" s="206">
        <v>23287</v>
      </c>
    </row>
    <row r="13" spans="1:19" ht="18" customHeight="1" x14ac:dyDescent="0.2">
      <c r="A13" s="157" t="s">
        <v>29</v>
      </c>
      <c r="B13" s="143">
        <f t="shared" si="1"/>
        <v>43493671.838724993</v>
      </c>
      <c r="C13" s="143">
        <v>0</v>
      </c>
      <c r="D13" s="143">
        <v>9882601.7558159996</v>
      </c>
      <c r="E13" s="143">
        <v>3014750.809076</v>
      </c>
      <c r="F13" s="143">
        <v>20573171.201171</v>
      </c>
      <c r="G13" s="143">
        <v>75060.596051999994</v>
      </c>
      <c r="H13" s="143">
        <f>9971374.47661-23287</f>
        <v>9948087.4766099993</v>
      </c>
      <c r="I13" s="117"/>
    </row>
    <row r="14" spans="1:19" ht="18" customHeight="1" x14ac:dyDescent="0.2">
      <c r="A14" s="157" t="s">
        <v>48</v>
      </c>
      <c r="B14" s="143">
        <f t="shared" si="1"/>
        <v>1968420.8774069999</v>
      </c>
      <c r="C14" s="143">
        <v>1968420.8774069999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1154.46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8.2069016889999986</v>
      </c>
      <c r="C17" s="172">
        <f t="shared" ref="C17:H17" si="5">SUM(C18:C19)</f>
        <v>2.4268616820000002</v>
      </c>
      <c r="D17" s="172">
        <f>SUM(D18:D19)</f>
        <v>0.238907388</v>
      </c>
      <c r="E17" s="172">
        <f t="shared" si="5"/>
        <v>0</v>
      </c>
      <c r="F17" s="172">
        <f t="shared" si="5"/>
        <v>5.0166536849999996</v>
      </c>
      <c r="G17" s="172">
        <f t="shared" si="5"/>
        <v>5.1156190999999997E-2</v>
      </c>
      <c r="H17" s="173">
        <f t="shared" si="5"/>
        <v>0.47332274299999999</v>
      </c>
      <c r="J17" s="128">
        <v>8206.9016890000021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5.7800400069999993</v>
      </c>
      <c r="C18" s="146">
        <v>0</v>
      </c>
      <c r="D18" s="146">
        <v>0.238907388</v>
      </c>
      <c r="E18" s="146">
        <v>0</v>
      </c>
      <c r="F18" s="146">
        <v>5.0166536849999996</v>
      </c>
      <c r="G18" s="146">
        <v>5.1156190999999997E-2</v>
      </c>
      <c r="H18" s="146">
        <v>0.47332274299999999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2.4268616820000002</v>
      </c>
      <c r="C19" s="161">
        <v>2.4268616820000002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22603444.216910001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20721829.279468998</v>
      </c>
      <c r="C22" s="147"/>
      <c r="D22" s="148"/>
      <c r="E22" s="147"/>
      <c r="F22" s="147"/>
      <c r="G22" s="147"/>
      <c r="H22" s="147"/>
      <c r="J22" s="105">
        <f>D29</f>
        <v>20684858.279468998</v>
      </c>
      <c r="K22" s="123" t="s">
        <v>42</v>
      </c>
    </row>
    <row r="23" spans="1:15" ht="30.75" customHeight="1" x14ac:dyDescent="0.2">
      <c r="A23" s="162" t="s">
        <v>32</v>
      </c>
      <c r="B23" s="143">
        <v>334437.587841</v>
      </c>
      <c r="C23" s="149"/>
      <c r="D23" s="150"/>
      <c r="E23" s="151"/>
      <c r="F23" s="151"/>
      <c r="G23" s="151"/>
      <c r="H23" s="151"/>
      <c r="J23" s="105">
        <f>D34</f>
        <v>1881614.9374409998</v>
      </c>
      <c r="K23" s="123" t="s">
        <v>41</v>
      </c>
    </row>
    <row r="24" spans="1:15" ht="18" customHeight="1" x14ac:dyDescent="0.2">
      <c r="A24" s="176" t="s">
        <v>14</v>
      </c>
      <c r="B24" s="143">
        <v>1217001.7316000001</v>
      </c>
      <c r="C24" s="149"/>
      <c r="D24" s="150"/>
      <c r="E24" s="151"/>
      <c r="F24" s="151"/>
      <c r="G24" s="151"/>
      <c r="H24" s="151"/>
      <c r="J24" s="105">
        <v>36971</v>
      </c>
      <c r="K24" s="123" t="s">
        <v>43</v>
      </c>
    </row>
    <row r="25" spans="1:15" ht="18" customHeight="1" x14ac:dyDescent="0.2">
      <c r="A25" s="157" t="s">
        <v>10</v>
      </c>
      <c r="B25" s="143">
        <v>84490.89</v>
      </c>
      <c r="C25" s="149"/>
      <c r="D25" s="150"/>
      <c r="E25" s="151"/>
      <c r="F25" s="151"/>
      <c r="G25" s="151"/>
      <c r="H25" s="151"/>
      <c r="J25" s="108">
        <f>B21-J22-J23-J24</f>
        <v>2.7939677238464355E-9</v>
      </c>
    </row>
    <row r="26" spans="1:15" ht="18" customHeight="1" x14ac:dyDescent="0.2">
      <c r="A26" s="157" t="s">
        <v>12</v>
      </c>
      <c r="B26" s="143">
        <v>245684.728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20684858.279468961</v>
      </c>
      <c r="C29" s="105">
        <f>B22-B29-J24</f>
        <v>3.7252902984619141E-8</v>
      </c>
      <c r="D29" s="138">
        <v>20684858.279468998</v>
      </c>
      <c r="E29" s="105">
        <f>B29-D29</f>
        <v>-3.7252902984619141E-8</v>
      </c>
      <c r="F29" s="133"/>
    </row>
    <row r="30" spans="1:15" hidden="1" x14ac:dyDescent="0.2">
      <c r="A30" s="188" t="s">
        <v>32</v>
      </c>
      <c r="B30" s="105">
        <v>334437.587841</v>
      </c>
      <c r="C30" s="105">
        <f>B23-B30</f>
        <v>0</v>
      </c>
      <c r="D30" s="138">
        <v>334437.587841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1217001.7316000001</v>
      </c>
      <c r="C31" s="105">
        <f>B24-B31</f>
        <v>0</v>
      </c>
      <c r="D31" s="138">
        <v>1217001.7316000001</v>
      </c>
      <c r="E31" s="105">
        <f>B31-D31</f>
        <v>0</v>
      </c>
    </row>
    <row r="32" spans="1:15" hidden="1" x14ac:dyDescent="0.2">
      <c r="A32" s="188" t="s">
        <v>10</v>
      </c>
      <c r="B32" s="105">
        <v>84490.889999999985</v>
      </c>
      <c r="C32" s="105">
        <f>B25-B32</f>
        <v>0</v>
      </c>
      <c r="D32" s="138">
        <v>84490.89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245684.72800000006</v>
      </c>
      <c r="C33" s="105">
        <f>B26-B33</f>
        <v>0</v>
      </c>
      <c r="D33" s="138">
        <v>245684.728</v>
      </c>
      <c r="E33" s="105">
        <f>B33-D33</f>
        <v>0</v>
      </c>
    </row>
    <row r="34" spans="1:10" hidden="1" x14ac:dyDescent="0.2">
      <c r="B34" s="105">
        <f>SUM(B30:B33)</f>
        <v>1881614.937441</v>
      </c>
      <c r="C34" s="105">
        <f>SUM(C29:C33)</f>
        <v>3.7252902984619141E-8</v>
      </c>
      <c r="D34" s="138">
        <f>SUM(D30:D33)</f>
        <v>1881614.9374409998</v>
      </c>
      <c r="E34" s="105">
        <f>SUM(E29:E33)</f>
        <v>-3.7252902984619141E-8</v>
      </c>
      <c r="J34" s="132"/>
    </row>
    <row r="35" spans="1:10" hidden="1" x14ac:dyDescent="0.2">
      <c r="B35" s="139">
        <f>B34+B29+J24-B22</f>
        <v>1881614.9374409616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D61C-0EFB-43F9-AA2C-7E585D863408}">
  <sheetPr>
    <tabColor rgb="FFFFDDFF"/>
    <pageSetUpPr fitToPage="1"/>
  </sheetPr>
  <dimension ref="A1:R52"/>
  <sheetViews>
    <sheetView zoomScale="87" zoomScaleNormal="87" workbookViewId="0">
      <selection activeCell="AC9" sqref="AC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8" width="9.140625" hidden="1" customWidth="1"/>
    <col min="19" max="19" width="9.140625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45323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7263168.6631000005</v>
      </c>
      <c r="C6" s="21">
        <f>SUM(C7:C10)</f>
        <v>24137.35</v>
      </c>
      <c r="D6" s="21">
        <f t="shared" ref="D6:H6" si="0">SUM(D7:D10)</f>
        <v>89413.79</v>
      </c>
      <c r="E6" s="21">
        <f t="shared" si="0"/>
        <v>414799.74</v>
      </c>
      <c r="F6" s="21">
        <f t="shared" si="0"/>
        <v>2740646.34846</v>
      </c>
      <c r="G6" s="21">
        <f t="shared" si="0"/>
        <v>0</v>
      </c>
      <c r="H6" s="22">
        <f t="shared" si="0"/>
        <v>3994171.4346400001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7109278.3130999999</v>
      </c>
      <c r="C7" s="30">
        <v>0</v>
      </c>
      <c r="D7" s="30">
        <v>89413.79</v>
      </c>
      <c r="E7" s="30">
        <v>414799.74</v>
      </c>
      <c r="F7" s="30">
        <v>2727819.34846</v>
      </c>
      <c r="G7" s="30">
        <v>0</v>
      </c>
      <c r="H7" s="56">
        <v>3877245.4346400001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125496</v>
      </c>
      <c r="C8" s="30">
        <v>0</v>
      </c>
      <c r="D8" s="30">
        <v>0</v>
      </c>
      <c r="E8" s="30">
        <v>0</v>
      </c>
      <c r="F8" s="30">
        <v>12827</v>
      </c>
      <c r="G8" s="30">
        <v>0</v>
      </c>
      <c r="H8" s="56">
        <v>112669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4257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4257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24137.35</v>
      </c>
      <c r="C10" s="30">
        <v>24137.35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6780</v>
      </c>
      <c r="N10" s="8">
        <v>2759</v>
      </c>
      <c r="O10" s="8"/>
      <c r="P10" s="8"/>
      <c r="Q10" s="52">
        <v>9539</v>
      </c>
    </row>
    <row r="11" spans="1:18" ht="18" customHeight="1" x14ac:dyDescent="0.2">
      <c r="A11" s="43" t="s">
        <v>3</v>
      </c>
      <c r="B11" s="36">
        <f t="shared" si="1"/>
        <v>42819975.071599998</v>
      </c>
      <c r="C11" s="21">
        <f>SUM(C12:C15)</f>
        <v>279617.69</v>
      </c>
      <c r="D11" s="21">
        <f t="shared" ref="D11:H11" si="2">SUM(D12:D15)</f>
        <v>688710</v>
      </c>
      <c r="E11" s="21">
        <f t="shared" si="2"/>
        <v>145909</v>
      </c>
      <c r="F11" s="21">
        <f t="shared" si="2"/>
        <v>3073427.8390000002</v>
      </c>
      <c r="G11" s="21">
        <f t="shared" si="2"/>
        <v>11760</v>
      </c>
      <c r="H11" s="22">
        <f t="shared" si="2"/>
        <v>38620550.542599998</v>
      </c>
      <c r="J11" s="90" t="s">
        <v>1</v>
      </c>
      <c r="K11" s="53">
        <v>0</v>
      </c>
      <c r="L11" s="53">
        <v>0</v>
      </c>
      <c r="M11" s="53">
        <v>6780</v>
      </c>
      <c r="N11" s="53">
        <v>2759</v>
      </c>
      <c r="O11" s="53">
        <v>0</v>
      </c>
      <c r="P11" s="53">
        <v>0</v>
      </c>
      <c r="Q11" s="53">
        <v>9539</v>
      </c>
    </row>
    <row r="12" spans="1:18" ht="18" customHeight="1" x14ac:dyDescent="0.2">
      <c r="A12" s="42" t="s">
        <v>29</v>
      </c>
      <c r="B12" s="37">
        <f t="shared" si="1"/>
        <v>40929375.691600002</v>
      </c>
      <c r="C12" s="30">
        <v>0</v>
      </c>
      <c r="D12" s="30">
        <v>688710</v>
      </c>
      <c r="E12" s="30">
        <v>145909</v>
      </c>
      <c r="F12" s="30">
        <v>3039257.8390000002</v>
      </c>
      <c r="G12" s="30">
        <v>11760</v>
      </c>
      <c r="H12" s="56">
        <v>37043738.852600001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1516013.04</v>
      </c>
      <c r="C13" s="30">
        <v>0</v>
      </c>
      <c r="D13" s="30">
        <v>0</v>
      </c>
      <c r="E13" s="30">
        <v>0</v>
      </c>
      <c r="F13" s="30">
        <v>34170</v>
      </c>
      <c r="G13" s="30">
        <v>0</v>
      </c>
      <c r="H13" s="56">
        <v>1481843.04</v>
      </c>
      <c r="J13" s="91" t="s">
        <v>25</v>
      </c>
      <c r="K13" s="55">
        <v>0</v>
      </c>
      <c r="L13" s="55">
        <v>0</v>
      </c>
      <c r="M13" s="55">
        <v>6780</v>
      </c>
      <c r="N13" s="55">
        <v>2759</v>
      </c>
      <c r="O13" s="55">
        <v>0</v>
      </c>
      <c r="P13" s="55">
        <v>0</v>
      </c>
      <c r="Q13" s="55">
        <v>9539</v>
      </c>
      <c r="R13" s="12"/>
    </row>
    <row r="14" spans="1:18" ht="24" customHeight="1" x14ac:dyDescent="0.2">
      <c r="A14" s="44" t="s">
        <v>31</v>
      </c>
      <c r="B14" s="37">
        <f t="shared" si="1"/>
        <v>94968.65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94968.65</v>
      </c>
      <c r="Q14" s="2"/>
    </row>
    <row r="15" spans="1:18" ht="18" customHeight="1" x14ac:dyDescent="0.2">
      <c r="A15" s="42" t="s">
        <v>28</v>
      </c>
      <c r="B15" s="37">
        <f t="shared" si="1"/>
        <v>279617.69</v>
      </c>
      <c r="C15" s="30">
        <v>279617.69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>SUM(C16:H16)</f>
        <v>56945382.931068003</v>
      </c>
      <c r="C16" s="21">
        <f>SUM(C17:C20)</f>
        <v>3699082.466364</v>
      </c>
      <c r="D16" s="21">
        <f t="shared" ref="D16:H16" si="3">SUM(D17:D20)</f>
        <v>15116258.505413</v>
      </c>
      <c r="E16" s="21">
        <f t="shared" si="3"/>
        <v>3817865.603532</v>
      </c>
      <c r="F16" s="21">
        <f t="shared" si="3"/>
        <v>22599417.393982999</v>
      </c>
      <c r="G16" s="21">
        <f t="shared" si="3"/>
        <v>314862.07919999998</v>
      </c>
      <c r="H16" s="22">
        <f t="shared" si="3"/>
        <v>11397896.882576</v>
      </c>
    </row>
    <row r="17" spans="1:14" ht="18" customHeight="1" x14ac:dyDescent="0.2">
      <c r="A17" s="42" t="s">
        <v>29</v>
      </c>
      <c r="B17" s="37">
        <f>SUM(C17:H17)</f>
        <v>52296428.216193996</v>
      </c>
      <c r="C17" s="30">
        <v>0</v>
      </c>
      <c r="D17" s="30">
        <v>15116258.505413</v>
      </c>
      <c r="E17" s="30">
        <v>3811853.814458</v>
      </c>
      <c r="F17" s="30">
        <v>22169051.008733999</v>
      </c>
      <c r="G17" s="30">
        <v>314862.07919999998</v>
      </c>
      <c r="H17" s="56">
        <f>10893941.808389-Q11</f>
        <v>10884402.808389001</v>
      </c>
      <c r="I17" s="1"/>
    </row>
    <row r="18" spans="1:14" ht="24" customHeight="1" x14ac:dyDescent="0.2">
      <c r="A18" s="44" t="s">
        <v>30</v>
      </c>
      <c r="B18" s="37">
        <f t="shared" si="1"/>
        <v>858377.80851000012</v>
      </c>
      <c r="C18" s="30">
        <v>0</v>
      </c>
      <c r="D18" s="30">
        <v>0</v>
      </c>
      <c r="E18" s="30">
        <v>6011.7890740000003</v>
      </c>
      <c r="F18" s="30">
        <v>366612.78524900001</v>
      </c>
      <c r="G18" s="30">
        <v>0</v>
      </c>
      <c r="H18" s="56">
        <v>485753.23418700002</v>
      </c>
      <c r="J18" s="65"/>
    </row>
    <row r="19" spans="1:14" ht="24" customHeight="1" x14ac:dyDescent="0.2">
      <c r="A19" s="44" t="s">
        <v>31</v>
      </c>
      <c r="B19" s="37">
        <f t="shared" si="1"/>
        <v>91494.44</v>
      </c>
      <c r="C19" s="30">
        <v>0</v>
      </c>
      <c r="D19" s="30">
        <v>0</v>
      </c>
      <c r="E19" s="30">
        <v>0</v>
      </c>
      <c r="F19" s="30">
        <v>63753.599999999999</v>
      </c>
      <c r="G19" s="30">
        <v>0</v>
      </c>
      <c r="H19" s="56">
        <v>27740.84</v>
      </c>
      <c r="J19" s="65"/>
    </row>
    <row r="20" spans="1:14" ht="18" customHeight="1" x14ac:dyDescent="0.2">
      <c r="A20" s="42" t="s">
        <v>28</v>
      </c>
      <c r="B20" s="37">
        <f t="shared" si="1"/>
        <v>3699082.466364</v>
      </c>
      <c r="C20" s="30">
        <v>3699082.466364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107028526.665768</v>
      </c>
      <c r="C21" s="21">
        <f>C6+C11+C16</f>
        <v>4002837.506364</v>
      </c>
      <c r="D21" s="21">
        <f t="shared" ref="D21:G21" si="4">D6+D11+D16</f>
        <v>15894382.295412999</v>
      </c>
      <c r="E21" s="21">
        <f t="shared" si="4"/>
        <v>4378574.3435319997</v>
      </c>
      <c r="F21" s="21">
        <f t="shared" si="4"/>
        <v>28413491.581442997</v>
      </c>
      <c r="G21" s="21">
        <f t="shared" si="4"/>
        <v>326622.07919999998</v>
      </c>
      <c r="H21" s="22">
        <f>H6+H11+H16</f>
        <v>54012618.859816</v>
      </c>
      <c r="J21" s="76">
        <v>107038065.665768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0</v>
      </c>
      <c r="K22" s="79"/>
    </row>
    <row r="23" spans="1:14" ht="18" customHeight="1" thickBot="1" x14ac:dyDescent="0.25">
      <c r="A23" s="50" t="s">
        <v>8</v>
      </c>
      <c r="B23" s="66">
        <v>9591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10.129145587</v>
      </c>
      <c r="C25" s="23">
        <f>SUM(C26:C29)</f>
        <v>3.6820736459999996</v>
      </c>
      <c r="D25" s="23">
        <f t="shared" ref="D25:H25" si="5">SUM(D26:D29)</f>
        <v>0.19887041400000002</v>
      </c>
      <c r="E25" s="23">
        <f t="shared" si="5"/>
        <v>3.1482630000000001E-3</v>
      </c>
      <c r="F25" s="23">
        <f t="shared" si="5"/>
        <v>5.1844993660000007</v>
      </c>
      <c r="G25" s="23">
        <f t="shared" si="5"/>
        <v>0.30651336600000001</v>
      </c>
      <c r="H25" s="24">
        <f t="shared" si="5"/>
        <v>0.75404053199999999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3.6820736459999996</v>
      </c>
      <c r="C26" s="39">
        <v>3.6820736459999996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3.6820736460000001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6.4170268760000004</v>
      </c>
      <c r="C27" s="39">
        <v>0</v>
      </c>
      <c r="D27" s="39">
        <v>0.19887041400000002</v>
      </c>
      <c r="E27" s="39">
        <v>3.1482630000000001E-3</v>
      </c>
      <c r="F27" s="39">
        <v>5.1650523700000006</v>
      </c>
      <c r="G27" s="39">
        <v>0.30651336600000001</v>
      </c>
      <c r="H27" s="47">
        <v>0.74344246299999994</v>
      </c>
      <c r="J27" s="77">
        <v>6.4470719409999999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3.0045064999999996E-2</v>
      </c>
      <c r="C28" s="39">
        <v>0</v>
      </c>
      <c r="D28" s="39">
        <v>0</v>
      </c>
      <c r="E28" s="39">
        <v>0</v>
      </c>
      <c r="F28" s="39">
        <v>1.9446995999999998E-2</v>
      </c>
      <c r="G28" s="39">
        <v>0</v>
      </c>
      <c r="H28" s="47">
        <v>1.0598069E-2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24676295.399199001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23587408.770194001</v>
      </c>
      <c r="C32" s="3"/>
      <c r="D32" s="70"/>
      <c r="E32" s="3"/>
      <c r="F32" s="3"/>
      <c r="G32" s="3"/>
      <c r="H32" s="10"/>
      <c r="J32" s="76">
        <f>D39</f>
        <v>23587408.770193998</v>
      </c>
      <c r="K32" s="81" t="s">
        <v>42</v>
      </c>
    </row>
    <row r="33" spans="1:11" ht="24" customHeight="1" x14ac:dyDescent="0.2">
      <c r="A33" s="27" t="s">
        <v>32</v>
      </c>
      <c r="B33" s="60">
        <v>416919.12680500001</v>
      </c>
      <c r="C33" s="4"/>
      <c r="D33" s="70"/>
      <c r="E33" s="3"/>
      <c r="F33" s="3"/>
      <c r="G33" s="3"/>
      <c r="H33" s="10"/>
      <c r="J33" s="76">
        <f>D44</f>
        <v>1088886.629005</v>
      </c>
      <c r="K33" s="81" t="s">
        <v>41</v>
      </c>
    </row>
    <row r="34" spans="1:11" ht="18" customHeight="1" x14ac:dyDescent="0.2">
      <c r="A34" s="28" t="s">
        <v>14</v>
      </c>
      <c r="B34" s="60">
        <v>460915.04920000001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192231.44699999999</v>
      </c>
      <c r="C35" s="4"/>
      <c r="D35" s="70"/>
      <c r="E35" s="3"/>
      <c r="F35" s="3"/>
      <c r="G35" s="3"/>
      <c r="H35" s="10"/>
      <c r="J35" s="97">
        <f>B31-J32-J33-J34</f>
        <v>3.7252902984619141E-9</v>
      </c>
    </row>
    <row r="36" spans="1:11" ht="18" customHeight="1" thickBot="1" x14ac:dyDescent="0.25">
      <c r="A36" s="99" t="s">
        <v>12</v>
      </c>
      <c r="B36" s="100">
        <v>18821.006000000001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f>23567369.370194+20039.4</f>
        <v>23587408.770193998</v>
      </c>
      <c r="C39" s="76">
        <f>B32-B39-J34</f>
        <v>3.7252902984619141E-9</v>
      </c>
      <c r="D39" s="88">
        <v>23587408.770193998</v>
      </c>
      <c r="E39" s="76">
        <f>B39-D39</f>
        <v>0</v>
      </c>
    </row>
    <row r="40" spans="1:11" hidden="1" x14ac:dyDescent="0.2">
      <c r="A40" s="79" t="s">
        <v>32</v>
      </c>
      <c r="B40" s="76">
        <v>416919.12680500001</v>
      </c>
      <c r="C40" s="76">
        <f>B33-B40</f>
        <v>0</v>
      </c>
      <c r="D40" s="88">
        <v>416919.12680500001</v>
      </c>
      <c r="E40" s="76">
        <f>B40-D40</f>
        <v>0</v>
      </c>
    </row>
    <row r="41" spans="1:11" hidden="1" x14ac:dyDescent="0.2">
      <c r="A41" s="79" t="s">
        <v>14</v>
      </c>
      <c r="B41" s="76">
        <v>460915.04920000007</v>
      </c>
      <c r="C41" s="76">
        <f>B34-B41</f>
        <v>0</v>
      </c>
      <c r="D41" s="88">
        <v>460915.04920000001</v>
      </c>
      <c r="E41" s="76">
        <f>B41-D41</f>
        <v>0</v>
      </c>
    </row>
    <row r="42" spans="1:11" hidden="1" x14ac:dyDescent="0.2">
      <c r="A42" s="79" t="s">
        <v>10</v>
      </c>
      <c r="B42" s="76">
        <v>192231.44699999999</v>
      </c>
      <c r="C42" s="76">
        <f>B35-B42</f>
        <v>0</v>
      </c>
      <c r="D42" s="88">
        <v>192231.44699999999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18821.005999999958</v>
      </c>
      <c r="C43" s="76">
        <f>B36-B43</f>
        <v>4.3655745685100555E-11</v>
      </c>
      <c r="D43" s="88">
        <v>18821.006000000001</v>
      </c>
      <c r="E43" s="76">
        <f>B43-D43</f>
        <v>-4.3655745685100555E-11</v>
      </c>
    </row>
    <row r="44" spans="1:11" hidden="1" x14ac:dyDescent="0.2">
      <c r="B44" s="76">
        <f>SUM(B40:B43)</f>
        <v>1088886.629005</v>
      </c>
      <c r="C44" s="76">
        <f>SUM(C39:C43)</f>
        <v>3.7689460441470146E-9</v>
      </c>
      <c r="D44" s="83">
        <f>SUM(D40:D43)</f>
        <v>1088886.629005</v>
      </c>
      <c r="E44" s="76">
        <f>SUM(E39:E43)</f>
        <v>-4.3655745685100555E-11</v>
      </c>
    </row>
    <row r="45" spans="1:11" hidden="1" x14ac:dyDescent="0.2">
      <c r="B45" s="89">
        <f>B44+B39+J34-B32</f>
        <v>1088886.6290049963</v>
      </c>
      <c r="C45" s="76"/>
      <c r="D45" s="83">
        <f>D44+D39</f>
        <v>24676295.399198998</v>
      </c>
      <c r="E45" s="76"/>
    </row>
    <row r="46" spans="1:11" hidden="1" x14ac:dyDescent="0.2">
      <c r="B46" s="76"/>
      <c r="C46" s="32"/>
      <c r="D46" s="32"/>
      <c r="E46" s="32"/>
    </row>
    <row r="47" spans="1:11" hidden="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7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68F1-A823-4FFF-AE1F-973BAC1380E3}">
  <sheetPr>
    <tabColor rgb="FFCCCCFF"/>
    <pageSetUpPr fitToPage="1"/>
  </sheetPr>
  <dimension ref="A1:S43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45870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90831584.793365985</v>
      </c>
      <c r="C6" s="166">
        <f t="shared" ref="C6:H6" si="0">C7+C8</f>
        <v>1842513.2388599999</v>
      </c>
      <c r="D6" s="166">
        <f t="shared" si="0"/>
        <v>10886259.524642</v>
      </c>
      <c r="E6" s="166">
        <f t="shared" si="0"/>
        <v>5477510.0602510003</v>
      </c>
      <c r="F6" s="166">
        <f t="shared" si="0"/>
        <v>26653933.001436003</v>
      </c>
      <c r="G6" s="166">
        <f t="shared" si="0"/>
        <v>69338.274481999993</v>
      </c>
      <c r="H6" s="174">
        <f t="shared" si="0"/>
        <v>45902030.693694994</v>
      </c>
      <c r="J6" s="153">
        <v>90852726.193366051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88989071.554505989</v>
      </c>
      <c r="C7" s="197">
        <f t="shared" ref="C7:H8" si="2">C10+C13</f>
        <v>0</v>
      </c>
      <c r="D7" s="197">
        <f t="shared" si="2"/>
        <v>10886259.524642</v>
      </c>
      <c r="E7" s="197">
        <f t="shared" si="2"/>
        <v>5477510.0602510003</v>
      </c>
      <c r="F7" s="197">
        <f t="shared" si="2"/>
        <v>26653933.001436003</v>
      </c>
      <c r="G7" s="197">
        <f t="shared" si="2"/>
        <v>69338.274481999993</v>
      </c>
      <c r="H7" s="197">
        <f t="shared" si="2"/>
        <v>45902030.693694994</v>
      </c>
      <c r="J7" s="108">
        <f>B6-J6+S12</f>
        <v>-6.5563654061406851E-8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1842513.2388599999</v>
      </c>
      <c r="C8" s="145">
        <f t="shared" si="2"/>
        <v>1842513.2388599999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39230120.982999995</v>
      </c>
      <c r="C9" s="194">
        <f t="shared" ref="C9:H9" si="3">SUM(C10:C11)</f>
        <v>0</v>
      </c>
      <c r="D9" s="194">
        <f t="shared" si="3"/>
        <v>964890.27200000011</v>
      </c>
      <c r="E9" s="194">
        <f t="shared" si="3"/>
        <v>87320</v>
      </c>
      <c r="F9" s="194">
        <f t="shared" si="3"/>
        <v>3477812.4500000011</v>
      </c>
      <c r="G9" s="194">
        <f t="shared" si="3"/>
        <v>2200</v>
      </c>
      <c r="H9" s="194">
        <f t="shared" si="3"/>
        <v>34697898.260999992</v>
      </c>
      <c r="L9" s="191" t="s">
        <v>27</v>
      </c>
      <c r="M9" s="200">
        <v>15979.4</v>
      </c>
      <c r="N9" s="200">
        <v>0</v>
      </c>
      <c r="O9" s="200">
        <v>96</v>
      </c>
      <c r="P9" s="200">
        <v>5066</v>
      </c>
      <c r="Q9" s="200"/>
      <c r="R9" s="200"/>
      <c r="S9" s="201">
        <v>21141.4</v>
      </c>
    </row>
    <row r="10" spans="1:19" ht="18" customHeight="1" x14ac:dyDescent="0.2">
      <c r="A10" s="157" t="s">
        <v>29</v>
      </c>
      <c r="B10" s="143">
        <f t="shared" si="1"/>
        <v>39230120.982999995</v>
      </c>
      <c r="C10" s="143">
        <v>0</v>
      </c>
      <c r="D10" s="143">
        <v>964890.27200000011</v>
      </c>
      <c r="E10" s="143">
        <v>87320</v>
      </c>
      <c r="F10" s="143">
        <v>3477812.4500000011</v>
      </c>
      <c r="G10" s="143">
        <v>2200</v>
      </c>
      <c r="H10" s="143">
        <v>34697898.260999992</v>
      </c>
      <c r="L10" s="191" t="s">
        <v>1</v>
      </c>
      <c r="M10" s="202">
        <v>15979.4</v>
      </c>
      <c r="N10" s="202">
        <v>0</v>
      </c>
      <c r="O10" s="202">
        <v>96</v>
      </c>
      <c r="P10" s="202">
        <v>5066</v>
      </c>
      <c r="Q10" s="202">
        <v>0</v>
      </c>
      <c r="R10" s="202">
        <v>0</v>
      </c>
      <c r="S10" s="202">
        <v>21141.4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51601463.810365997</v>
      </c>
      <c r="C12" s="144">
        <f t="shared" ref="C12:G12" si="4">SUM(C13:C14)</f>
        <v>1842513.2388599999</v>
      </c>
      <c r="D12" s="144">
        <f t="shared" si="4"/>
        <v>9921369.2526420001</v>
      </c>
      <c r="E12" s="144">
        <f t="shared" si="4"/>
        <v>5390190.0602510003</v>
      </c>
      <c r="F12" s="144">
        <f t="shared" si="4"/>
        <v>23176120.551436</v>
      </c>
      <c r="G12" s="144">
        <f t="shared" si="4"/>
        <v>67138.274481999993</v>
      </c>
      <c r="H12" s="144">
        <f>SUM(H13:H14)</f>
        <v>11204132.432695</v>
      </c>
      <c r="L12" s="192" t="s">
        <v>25</v>
      </c>
      <c r="M12" s="205">
        <v>15979.4</v>
      </c>
      <c r="N12" s="205">
        <v>0</v>
      </c>
      <c r="O12" s="205">
        <v>96</v>
      </c>
      <c r="P12" s="205">
        <v>5066</v>
      </c>
      <c r="Q12" s="205">
        <v>0</v>
      </c>
      <c r="R12" s="205">
        <v>0</v>
      </c>
      <c r="S12" s="206">
        <v>21141.4</v>
      </c>
    </row>
    <row r="13" spans="1:19" ht="18" customHeight="1" x14ac:dyDescent="0.2">
      <c r="A13" s="157" t="s">
        <v>29</v>
      </c>
      <c r="B13" s="143">
        <f t="shared" si="1"/>
        <v>49758950.571505994</v>
      </c>
      <c r="C13" s="143">
        <v>0</v>
      </c>
      <c r="D13" s="143">
        <v>9921369.2526420001</v>
      </c>
      <c r="E13" s="143">
        <v>5390190.0602510003</v>
      </c>
      <c r="F13" s="143">
        <v>23176120.551436</v>
      </c>
      <c r="G13" s="143">
        <v>67138.274481999993</v>
      </c>
      <c r="H13" s="143">
        <f>11225273.832695-21141.4</f>
        <v>11204132.432695</v>
      </c>
      <c r="I13" s="117"/>
    </row>
    <row r="14" spans="1:19" ht="18" customHeight="1" x14ac:dyDescent="0.2">
      <c r="A14" s="157" t="s">
        <v>48</v>
      </c>
      <c r="B14" s="143">
        <f t="shared" si="1"/>
        <v>1842513.2388599999</v>
      </c>
      <c r="C14" s="143">
        <v>1842513.2388599999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1080.1500000000001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8.5240747030000019</v>
      </c>
      <c r="C17" s="172">
        <f t="shared" ref="C17:H17" si="5">SUM(C18:C19)</f>
        <v>2.2018079660000001</v>
      </c>
      <c r="D17" s="172">
        <f>SUM(D18:D19)</f>
        <v>0.24676938500000001</v>
      </c>
      <c r="E17" s="172">
        <f t="shared" si="5"/>
        <v>0</v>
      </c>
      <c r="F17" s="172">
        <f t="shared" si="5"/>
        <v>5.5792899980000001</v>
      </c>
      <c r="G17" s="172">
        <f t="shared" si="5"/>
        <v>4.7339721000000001E-2</v>
      </c>
      <c r="H17" s="173">
        <f t="shared" si="5"/>
        <v>0.44886763299999999</v>
      </c>
      <c r="J17" s="128">
        <v>8524.0747030000002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6.3222667370000005</v>
      </c>
      <c r="C18" s="146">
        <v>0</v>
      </c>
      <c r="D18" s="146">
        <v>0.24676938500000001</v>
      </c>
      <c r="E18" s="146">
        <v>0</v>
      </c>
      <c r="F18" s="146">
        <v>5.5792899980000001</v>
      </c>
      <c r="G18" s="146">
        <v>4.7339721000000001E-2</v>
      </c>
      <c r="H18" s="146">
        <v>0.44886763299999999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2.2018079660000001</v>
      </c>
      <c r="C19" s="161">
        <v>2.2018079660000001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19000681.665434003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17467280.499131002</v>
      </c>
      <c r="C22" s="147"/>
      <c r="D22" s="148"/>
      <c r="E22" s="147"/>
      <c r="F22" s="147"/>
      <c r="G22" s="147"/>
      <c r="H22" s="147"/>
      <c r="J22" s="105">
        <f>D29</f>
        <v>17461130.839131001</v>
      </c>
      <c r="K22" s="123" t="s">
        <v>42</v>
      </c>
    </row>
    <row r="23" spans="1:15" ht="30.75" customHeight="1" x14ac:dyDescent="0.2">
      <c r="A23" s="162" t="s">
        <v>32</v>
      </c>
      <c r="B23" s="143">
        <v>343872.14990299998</v>
      </c>
      <c r="C23" s="149"/>
      <c r="D23" s="150"/>
      <c r="E23" s="151"/>
      <c r="F23" s="151"/>
      <c r="G23" s="151"/>
      <c r="H23" s="151"/>
      <c r="J23" s="105">
        <f>D34</f>
        <v>1533401.1663029999</v>
      </c>
      <c r="K23" s="123" t="s">
        <v>41</v>
      </c>
    </row>
    <row r="24" spans="1:15" ht="18" customHeight="1" x14ac:dyDescent="0.2">
      <c r="A24" s="176" t="s">
        <v>14</v>
      </c>
      <c r="B24" s="143">
        <v>1107819.7579000001</v>
      </c>
      <c r="C24" s="149"/>
      <c r="D24" s="150"/>
      <c r="E24" s="151"/>
      <c r="F24" s="151"/>
      <c r="G24" s="151"/>
      <c r="H24" s="151"/>
      <c r="J24" s="105">
        <v>6149.66</v>
      </c>
      <c r="K24" s="123" t="s">
        <v>43</v>
      </c>
    </row>
    <row r="25" spans="1:15" ht="18" customHeight="1" x14ac:dyDescent="0.2">
      <c r="A25" s="157" t="s">
        <v>10</v>
      </c>
      <c r="B25" s="143">
        <v>70202.662500000006</v>
      </c>
      <c r="C25" s="149"/>
      <c r="D25" s="150"/>
      <c r="E25" s="151"/>
      <c r="F25" s="151"/>
      <c r="G25" s="151"/>
      <c r="H25" s="151"/>
      <c r="J25" s="108">
        <f>B21-J22-J23-J24</f>
        <v>1.546140993013978E-9</v>
      </c>
    </row>
    <row r="26" spans="1:15" ht="18" customHeight="1" x14ac:dyDescent="0.2">
      <c r="A26" s="157" t="s">
        <v>12</v>
      </c>
      <c r="B26" s="143">
        <v>11506.596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17461130.83913099</v>
      </c>
      <c r="C29" s="105">
        <f>B22-B29-J24</f>
        <v>1.1325028026476502E-8</v>
      </c>
      <c r="D29" s="138">
        <v>17461130.839131001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343872.14990299998</v>
      </c>
      <c r="C30" s="105">
        <f>B23-B30</f>
        <v>0</v>
      </c>
      <c r="D30" s="138">
        <v>343872.14990299998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1107819.7578999999</v>
      </c>
      <c r="C31" s="105">
        <f>B24-B31</f>
        <v>0</v>
      </c>
      <c r="D31" s="138">
        <v>1107819.7579000001</v>
      </c>
      <c r="E31" s="105">
        <f>B31-D31</f>
        <v>0</v>
      </c>
    </row>
    <row r="32" spans="1:15" hidden="1" x14ac:dyDescent="0.2">
      <c r="A32" s="188" t="s">
        <v>10</v>
      </c>
      <c r="B32" s="105">
        <v>70202.662500000006</v>
      </c>
      <c r="C32" s="105">
        <f>B25-B32</f>
        <v>0</v>
      </c>
      <c r="D32" s="138">
        <v>70202.662500000006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11506.596000000049</v>
      </c>
      <c r="C33" s="105">
        <f>B26-B33</f>
        <v>-4.9112713895738125E-11</v>
      </c>
      <c r="D33" s="138">
        <v>11506.596</v>
      </c>
      <c r="E33" s="105">
        <f>B33-D33</f>
        <v>4.9112713895738125E-11</v>
      </c>
    </row>
    <row r="34" spans="1:10" hidden="1" x14ac:dyDescent="0.2">
      <c r="B34" s="105">
        <f>SUM(B30:B33)</f>
        <v>1533401.1663030002</v>
      </c>
      <c r="C34" s="105">
        <f>SUM(C29:C33)</f>
        <v>1.1275915312580764E-8</v>
      </c>
      <c r="D34" s="138">
        <f>SUM(D30:D33)</f>
        <v>1533401.1663029999</v>
      </c>
      <c r="E34" s="105">
        <f>SUM(E29:E33)</f>
        <v>4.9112713895738125E-11</v>
      </c>
      <c r="J34" s="132"/>
    </row>
    <row r="35" spans="1:10" hidden="1" x14ac:dyDescent="0.2">
      <c r="B35" s="139">
        <f>B34+B29+J24-B22</f>
        <v>1533401.1663029902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4342-C455-4793-9227-65446100A775}">
  <sheetPr>
    <tabColor rgb="FFCCCCFF"/>
    <pageSetUpPr fitToPage="1"/>
  </sheetPr>
  <dimension ref="A1:S43"/>
  <sheetViews>
    <sheetView zoomScale="87" zoomScaleNormal="87" workbookViewId="0">
      <selection activeCell="X21" sqref="X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45901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89203370.932403982</v>
      </c>
      <c r="C6" s="166">
        <f t="shared" ref="C6:H6" si="0">C7+C8</f>
        <v>1743500.9679070001</v>
      </c>
      <c r="D6" s="166">
        <f t="shared" si="0"/>
        <v>10583508.571496999</v>
      </c>
      <c r="E6" s="166">
        <f t="shared" si="0"/>
        <v>5715161.6881529996</v>
      </c>
      <c r="F6" s="166">
        <f t="shared" si="0"/>
        <v>26643614.240676001</v>
      </c>
      <c r="G6" s="166">
        <f t="shared" si="0"/>
        <v>68204.22521199999</v>
      </c>
      <c r="H6" s="174">
        <f t="shared" si="0"/>
        <v>44449381.238958985</v>
      </c>
      <c r="J6" s="153">
        <v>89276280.332404017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87459869.964496985</v>
      </c>
      <c r="C7" s="197">
        <f t="shared" ref="C7:H8" si="2">C10+C13</f>
        <v>0</v>
      </c>
      <c r="D7" s="197">
        <f t="shared" si="2"/>
        <v>10583508.571496999</v>
      </c>
      <c r="E7" s="197">
        <f t="shared" si="2"/>
        <v>5715161.6881529996</v>
      </c>
      <c r="F7" s="197">
        <f t="shared" si="2"/>
        <v>26643614.240676001</v>
      </c>
      <c r="G7" s="197">
        <f t="shared" si="2"/>
        <v>68204.22521199999</v>
      </c>
      <c r="H7" s="197">
        <f t="shared" si="2"/>
        <v>44449381.238958985</v>
      </c>
      <c r="J7" s="108">
        <f>B6-J6+S12</f>
        <v>-3.5768607631325722E-8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1743500.9679070001</v>
      </c>
      <c r="C8" s="145">
        <f t="shared" si="2"/>
        <v>1743500.9679070001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37602382.270799987</v>
      </c>
      <c r="C9" s="194">
        <f t="shared" ref="C9:H9" si="3">SUM(C10:C11)</f>
        <v>0</v>
      </c>
      <c r="D9" s="194">
        <f t="shared" si="3"/>
        <v>861988.03300000005</v>
      </c>
      <c r="E9" s="194">
        <f t="shared" si="3"/>
        <v>84589</v>
      </c>
      <c r="F9" s="194">
        <f t="shared" si="3"/>
        <v>3325765.1221000007</v>
      </c>
      <c r="G9" s="194">
        <f t="shared" si="3"/>
        <v>2920</v>
      </c>
      <c r="H9" s="194">
        <f t="shared" si="3"/>
        <v>33327120.115699984</v>
      </c>
      <c r="L9" s="191" t="s">
        <v>27</v>
      </c>
      <c r="M9" s="200">
        <v>68747.399999999994</v>
      </c>
      <c r="N9" s="200">
        <v>0</v>
      </c>
      <c r="O9" s="200">
        <v>402</v>
      </c>
      <c r="P9" s="200">
        <v>3760</v>
      </c>
      <c r="Q9" s="200"/>
      <c r="R9" s="200"/>
      <c r="S9" s="201">
        <v>72909.399999999994</v>
      </c>
    </row>
    <row r="10" spans="1:19" ht="18" customHeight="1" x14ac:dyDescent="0.2">
      <c r="A10" s="157" t="s">
        <v>29</v>
      </c>
      <c r="B10" s="143">
        <f t="shared" si="1"/>
        <v>37602382.270799987</v>
      </c>
      <c r="C10" s="143">
        <v>0</v>
      </c>
      <c r="D10" s="143">
        <v>861988.03300000005</v>
      </c>
      <c r="E10" s="143">
        <v>84589</v>
      </c>
      <c r="F10" s="143">
        <v>3325765.1221000007</v>
      </c>
      <c r="G10" s="143">
        <v>2920</v>
      </c>
      <c r="H10" s="143">
        <v>33327120.115699984</v>
      </c>
      <c r="L10" s="191" t="s">
        <v>1</v>
      </c>
      <c r="M10" s="202">
        <v>68747.399999999994</v>
      </c>
      <c r="N10" s="202">
        <v>0</v>
      </c>
      <c r="O10" s="202">
        <v>402</v>
      </c>
      <c r="P10" s="202">
        <v>3760</v>
      </c>
      <c r="Q10" s="202">
        <v>0</v>
      </c>
      <c r="R10" s="202">
        <v>0</v>
      </c>
      <c r="S10" s="202">
        <v>72909.399999999994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51600988.661604002</v>
      </c>
      <c r="C12" s="144">
        <f t="shared" ref="C12:G12" si="4">SUM(C13:C14)</f>
        <v>1743500.9679070001</v>
      </c>
      <c r="D12" s="144">
        <f t="shared" si="4"/>
        <v>9721520.5384969991</v>
      </c>
      <c r="E12" s="144">
        <f t="shared" si="4"/>
        <v>5630572.6881529996</v>
      </c>
      <c r="F12" s="144">
        <f t="shared" si="4"/>
        <v>23317849.118576001</v>
      </c>
      <c r="G12" s="144">
        <f t="shared" si="4"/>
        <v>65284.225211999998</v>
      </c>
      <c r="H12" s="144">
        <f>SUM(H13:H14)</f>
        <v>11122261.123259</v>
      </c>
      <c r="L12" s="192" t="s">
        <v>25</v>
      </c>
      <c r="M12" s="205">
        <v>68747.399999999994</v>
      </c>
      <c r="N12" s="205">
        <v>0</v>
      </c>
      <c r="O12" s="205">
        <v>402</v>
      </c>
      <c r="P12" s="205">
        <v>3760</v>
      </c>
      <c r="Q12" s="205">
        <v>0</v>
      </c>
      <c r="R12" s="205">
        <v>0</v>
      </c>
      <c r="S12" s="206">
        <v>72909.399999999994</v>
      </c>
    </row>
    <row r="13" spans="1:19" ht="18" customHeight="1" x14ac:dyDescent="0.2">
      <c r="A13" s="157" t="s">
        <v>29</v>
      </c>
      <c r="B13" s="143">
        <f t="shared" si="1"/>
        <v>49857487.693697006</v>
      </c>
      <c r="C13" s="143">
        <v>0</v>
      </c>
      <c r="D13" s="143">
        <v>9721520.5384969991</v>
      </c>
      <c r="E13" s="143">
        <v>5630572.6881529996</v>
      </c>
      <c r="F13" s="143">
        <v>23317849.118576001</v>
      </c>
      <c r="G13" s="143">
        <v>65284.225211999998</v>
      </c>
      <c r="H13" s="143">
        <f>11195170.523259-72909.4</f>
        <v>11122261.123259</v>
      </c>
      <c r="I13" s="117"/>
    </row>
    <row r="14" spans="1:19" ht="18" customHeight="1" x14ac:dyDescent="0.2">
      <c r="A14" s="157" t="s">
        <v>48</v>
      </c>
      <c r="B14" s="143">
        <f t="shared" si="1"/>
        <v>1743500.9679070001</v>
      </c>
      <c r="C14" s="143">
        <v>1743500.9679070001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1041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8.1436239159999992</v>
      </c>
      <c r="C17" s="172">
        <f t="shared" ref="C17:H17" si="5">SUM(C18:C19)</f>
        <v>2.1825984680000001</v>
      </c>
      <c r="D17" s="172">
        <f>SUM(D18:D19)</f>
        <v>0.25161414799999998</v>
      </c>
      <c r="E17" s="172">
        <f t="shared" si="5"/>
        <v>0</v>
      </c>
      <c r="F17" s="172">
        <f t="shared" si="5"/>
        <v>5.197860361</v>
      </c>
      <c r="G17" s="172">
        <f t="shared" si="5"/>
        <v>4.9607141E-2</v>
      </c>
      <c r="H17" s="173">
        <f t="shared" si="5"/>
        <v>0.46194379800000002</v>
      </c>
      <c r="J17" s="128">
        <v>8143.6239159999996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5.961025448</v>
      </c>
      <c r="C18" s="146">
        <v>0</v>
      </c>
      <c r="D18" s="146">
        <v>0.25161414799999998</v>
      </c>
      <c r="E18" s="146">
        <v>0</v>
      </c>
      <c r="F18" s="146">
        <v>5.197860361</v>
      </c>
      <c r="G18" s="146">
        <v>4.9607141E-2</v>
      </c>
      <c r="H18" s="146">
        <v>0.46194379800000002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2.1825984680000001</v>
      </c>
      <c r="C19" s="161">
        <v>2.1825984680000001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18867648.043031998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17475313.714596</v>
      </c>
      <c r="C22" s="147"/>
      <c r="D22" s="148"/>
      <c r="E22" s="147"/>
      <c r="F22" s="147"/>
      <c r="G22" s="147"/>
      <c r="H22" s="147"/>
      <c r="J22" s="105">
        <f>D29</f>
        <v>17402376.214596</v>
      </c>
      <c r="K22" s="123" t="s">
        <v>42</v>
      </c>
    </row>
    <row r="23" spans="1:15" ht="30.75" customHeight="1" x14ac:dyDescent="0.2">
      <c r="A23" s="162" t="s">
        <v>32</v>
      </c>
      <c r="B23" s="143">
        <v>349513.989756</v>
      </c>
      <c r="C23" s="149"/>
      <c r="D23" s="150"/>
      <c r="E23" s="151"/>
      <c r="F23" s="151"/>
      <c r="G23" s="151"/>
      <c r="H23" s="151"/>
      <c r="J23" s="105">
        <f>D34</f>
        <v>1392334.3284359998</v>
      </c>
      <c r="K23" s="123" t="s">
        <v>41</v>
      </c>
    </row>
    <row r="24" spans="1:15" ht="18" customHeight="1" x14ac:dyDescent="0.2">
      <c r="A24" s="176" t="s">
        <v>14</v>
      </c>
      <c r="B24" s="143">
        <v>876590.80218</v>
      </c>
      <c r="C24" s="149"/>
      <c r="D24" s="150"/>
      <c r="E24" s="151"/>
      <c r="F24" s="151"/>
      <c r="G24" s="151"/>
      <c r="H24" s="151"/>
      <c r="J24" s="105">
        <v>72937.5</v>
      </c>
      <c r="K24" s="123" t="s">
        <v>43</v>
      </c>
    </row>
    <row r="25" spans="1:15" ht="18" customHeight="1" x14ac:dyDescent="0.2">
      <c r="A25" s="157" t="s">
        <v>10</v>
      </c>
      <c r="B25" s="143">
        <v>88349.996499999994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5" ht="18" customHeight="1" x14ac:dyDescent="0.2">
      <c r="A26" s="157" t="s">
        <v>12</v>
      </c>
      <c r="B26" s="143">
        <v>77879.539999999994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17402376.214596007</v>
      </c>
      <c r="C29" s="105">
        <f>B22-B29-J24</f>
        <v>-7.4505805969238281E-9</v>
      </c>
      <c r="D29" s="138">
        <f>15281000+2121376.214596</f>
        <v>17402376.214596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349513.989756</v>
      </c>
      <c r="C30" s="105">
        <f>B23-B30</f>
        <v>0</v>
      </c>
      <c r="D30" s="138">
        <v>349513.989756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876590.80218</v>
      </c>
      <c r="C31" s="105">
        <f>B24-B31</f>
        <v>0</v>
      </c>
      <c r="D31" s="138">
        <f>346600+529990.80218</f>
        <v>876590.80218</v>
      </c>
      <c r="E31" s="105">
        <f>B31-D31</f>
        <v>0</v>
      </c>
    </row>
    <row r="32" spans="1:15" hidden="1" x14ac:dyDescent="0.2">
      <c r="A32" s="188" t="s">
        <v>10</v>
      </c>
      <c r="B32" s="105">
        <v>88349.996500000008</v>
      </c>
      <c r="C32" s="105">
        <f>B25-B32</f>
        <v>0</v>
      </c>
      <c r="D32" s="138">
        <f>87700+649.9965</f>
        <v>88349.996499999994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77879.540000000008</v>
      </c>
      <c r="C33" s="105">
        <f>B26-B33</f>
        <v>0</v>
      </c>
      <c r="D33" s="138">
        <v>77879.539999999994</v>
      </c>
      <c r="E33" s="105">
        <f>B33-D33</f>
        <v>0</v>
      </c>
    </row>
    <row r="34" spans="1:10" hidden="1" x14ac:dyDescent="0.2">
      <c r="B34" s="105">
        <f>SUM(B30:B33)</f>
        <v>1392334.3284359998</v>
      </c>
      <c r="C34" s="105">
        <f>SUM(C29:C33)</f>
        <v>-7.4505805969238281E-9</v>
      </c>
      <c r="D34" s="138">
        <f>SUM(D30:D33)</f>
        <v>1392334.3284359998</v>
      </c>
      <c r="E34" s="105">
        <f>SUM(E29:E33)</f>
        <v>0</v>
      </c>
      <c r="J34" s="132"/>
    </row>
    <row r="35" spans="1:10" hidden="1" x14ac:dyDescent="0.2">
      <c r="B35" s="139">
        <f>B34+B29+J24-B22</f>
        <v>1392334.3284360059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CC0-69DC-411B-9804-025445EBAA51}">
  <sheetPr>
    <tabColor rgb="FFCCCCFF"/>
    <pageSetUpPr fitToPage="1"/>
  </sheetPr>
  <dimension ref="A1:S43"/>
  <sheetViews>
    <sheetView tabSelected="1"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45931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103503163.31000501</v>
      </c>
      <c r="C6" s="166">
        <f t="shared" ref="C6:H6" si="0">C7+C8</f>
        <v>2448037.3220099998</v>
      </c>
      <c r="D6" s="166">
        <f t="shared" si="0"/>
        <v>13308109.345975</v>
      </c>
      <c r="E6" s="166">
        <f t="shared" si="0"/>
        <v>6098497.0397229996</v>
      </c>
      <c r="F6" s="166">
        <f t="shared" si="0"/>
        <v>31560676.869838998</v>
      </c>
      <c r="G6" s="166">
        <f t="shared" si="0"/>
        <v>80967.771001000001</v>
      </c>
      <c r="H6" s="174">
        <f t="shared" si="0"/>
        <v>50006874.961457014</v>
      </c>
      <c r="J6" s="153">
        <v>103618758.51000501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101055125.98799501</v>
      </c>
      <c r="C7" s="197">
        <f t="shared" ref="C7:H8" si="2">C10+C13</f>
        <v>0</v>
      </c>
      <c r="D7" s="197">
        <f t="shared" si="2"/>
        <v>13308109.345975</v>
      </c>
      <c r="E7" s="197">
        <f t="shared" si="2"/>
        <v>6098497.0397229996</v>
      </c>
      <c r="F7" s="197">
        <f t="shared" si="2"/>
        <v>31560676.869838998</v>
      </c>
      <c r="G7" s="197">
        <f t="shared" si="2"/>
        <v>80967.771001000001</v>
      </c>
      <c r="H7" s="197">
        <f t="shared" si="2"/>
        <v>50006874.961457014</v>
      </c>
      <c r="J7" s="108">
        <f>B6-J6+S12</f>
        <v>-2.9831426218152046E-9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2448037.3220099998</v>
      </c>
      <c r="C8" s="145">
        <f t="shared" si="2"/>
        <v>2448037.3220099998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39029202.132100016</v>
      </c>
      <c r="C9" s="194">
        <f t="shared" ref="C9:H9" si="3">SUM(C10:C11)</f>
        <v>0</v>
      </c>
      <c r="D9" s="194">
        <f t="shared" si="3"/>
        <v>1010151.672</v>
      </c>
      <c r="E9" s="194">
        <f t="shared" si="3"/>
        <v>75629</v>
      </c>
      <c r="F9" s="194">
        <f t="shared" si="3"/>
        <v>3283361.537599999</v>
      </c>
      <c r="G9" s="194">
        <f t="shared" si="3"/>
        <v>5840</v>
      </c>
      <c r="H9" s="194">
        <f t="shared" si="3"/>
        <v>34654219.922500014</v>
      </c>
      <c r="L9" s="191" t="s">
        <v>27</v>
      </c>
      <c r="M9" s="200">
        <v>109574.2</v>
      </c>
      <c r="N9" s="200">
        <v>0</v>
      </c>
      <c r="O9" s="200">
        <v>654</v>
      </c>
      <c r="P9" s="200">
        <v>5367</v>
      </c>
      <c r="Q9" s="200"/>
      <c r="R9" s="200"/>
      <c r="S9" s="201">
        <v>115595.2</v>
      </c>
    </row>
    <row r="10" spans="1:19" ht="18" customHeight="1" x14ac:dyDescent="0.2">
      <c r="A10" s="157" t="s">
        <v>29</v>
      </c>
      <c r="B10" s="143">
        <f t="shared" si="1"/>
        <v>39029202.132100016</v>
      </c>
      <c r="C10" s="143">
        <v>0</v>
      </c>
      <c r="D10" s="143">
        <v>1010151.672</v>
      </c>
      <c r="E10" s="143">
        <v>75629</v>
      </c>
      <c r="F10" s="143">
        <v>3283361.537599999</v>
      </c>
      <c r="G10" s="143">
        <v>5840</v>
      </c>
      <c r="H10" s="143">
        <v>34654219.922500014</v>
      </c>
      <c r="L10" s="191" t="s">
        <v>1</v>
      </c>
      <c r="M10" s="202">
        <v>109574.2</v>
      </c>
      <c r="N10" s="202">
        <v>0</v>
      </c>
      <c r="O10" s="202">
        <v>654</v>
      </c>
      <c r="P10" s="202">
        <v>5367</v>
      </c>
      <c r="Q10" s="202">
        <v>0</v>
      </c>
      <c r="R10" s="202">
        <v>0</v>
      </c>
      <c r="S10" s="202">
        <v>115595.2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64473961.177905001</v>
      </c>
      <c r="C12" s="144">
        <f t="shared" ref="C12:G12" si="4">SUM(C13:C14)</f>
        <v>2448037.3220099998</v>
      </c>
      <c r="D12" s="144">
        <f t="shared" si="4"/>
        <v>12297957.673975</v>
      </c>
      <c r="E12" s="144">
        <f t="shared" si="4"/>
        <v>6022868.0397229996</v>
      </c>
      <c r="F12" s="144">
        <f t="shared" si="4"/>
        <v>28277315.332238998</v>
      </c>
      <c r="G12" s="144">
        <f t="shared" si="4"/>
        <v>75127.771001000001</v>
      </c>
      <c r="H12" s="144">
        <f>SUM(H13:H14)</f>
        <v>15352655.038957002</v>
      </c>
      <c r="L12" s="192" t="s">
        <v>25</v>
      </c>
      <c r="M12" s="205">
        <v>109574.2</v>
      </c>
      <c r="N12" s="205">
        <v>0</v>
      </c>
      <c r="O12" s="205">
        <v>654</v>
      </c>
      <c r="P12" s="205">
        <v>5367</v>
      </c>
      <c r="Q12" s="205">
        <v>0</v>
      </c>
      <c r="R12" s="205">
        <v>0</v>
      </c>
      <c r="S12" s="206">
        <v>115595.2</v>
      </c>
    </row>
    <row r="13" spans="1:19" ht="18" customHeight="1" x14ac:dyDescent="0.2">
      <c r="A13" s="157" t="s">
        <v>29</v>
      </c>
      <c r="B13" s="143">
        <f t="shared" si="1"/>
        <v>62025923.855895005</v>
      </c>
      <c r="C13" s="143">
        <v>0</v>
      </c>
      <c r="D13" s="143">
        <v>12297957.673975</v>
      </c>
      <c r="E13" s="143">
        <v>6022868.0397229996</v>
      </c>
      <c r="F13" s="143">
        <v>28277315.332238998</v>
      </c>
      <c r="G13" s="143">
        <v>75127.771001000001</v>
      </c>
      <c r="H13" s="143">
        <f>15468250.238957-115595.2</f>
        <v>15352655.038957002</v>
      </c>
      <c r="I13" s="117"/>
    </row>
    <row r="14" spans="1:19" ht="18" customHeight="1" x14ac:dyDescent="0.2">
      <c r="A14" s="157" t="s">
        <v>48</v>
      </c>
      <c r="B14" s="143">
        <f t="shared" si="1"/>
        <v>2448037.3220099998</v>
      </c>
      <c r="C14" s="143">
        <v>2448037.3220099998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3640.864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8.8791252239999992</v>
      </c>
      <c r="C17" s="172">
        <f t="shared" ref="C17:H17" si="5">SUM(C18:C19)</f>
        <v>2.426894769</v>
      </c>
      <c r="D17" s="172">
        <f>SUM(D18:D19)</f>
        <v>0.24990817800000001</v>
      </c>
      <c r="E17" s="172">
        <f t="shared" si="5"/>
        <v>0</v>
      </c>
      <c r="F17" s="172">
        <f t="shared" si="5"/>
        <v>5.357063074</v>
      </c>
      <c r="G17" s="172">
        <f t="shared" si="5"/>
        <v>7.0616473999999999E-2</v>
      </c>
      <c r="H17" s="173">
        <f t="shared" si="5"/>
        <v>0.77464272899999997</v>
      </c>
      <c r="J17" s="128">
        <v>8879.1252240000013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6.4522304550000005</v>
      </c>
      <c r="C18" s="146">
        <v>0</v>
      </c>
      <c r="D18" s="146">
        <v>0.24990817800000001</v>
      </c>
      <c r="E18" s="146">
        <v>0</v>
      </c>
      <c r="F18" s="146">
        <v>5.357063074</v>
      </c>
      <c r="G18" s="146">
        <v>7.0616473999999999E-2</v>
      </c>
      <c r="H18" s="146">
        <v>0.77464272899999997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2.426894769</v>
      </c>
      <c r="C19" s="161">
        <v>2.426894769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28134165.451157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26017599.478029002</v>
      </c>
      <c r="C22" s="147"/>
      <c r="D22" s="148"/>
      <c r="E22" s="147"/>
      <c r="F22" s="147"/>
      <c r="G22" s="147"/>
      <c r="H22" s="147"/>
      <c r="J22" s="105">
        <f>D29</f>
        <v>26006763.683029</v>
      </c>
      <c r="K22" s="123" t="s">
        <v>42</v>
      </c>
    </row>
    <row r="23" spans="1:15" ht="30.75" customHeight="1" x14ac:dyDescent="0.2">
      <c r="A23" s="162" t="s">
        <v>32</v>
      </c>
      <c r="B23" s="143">
        <v>388405.91270400002</v>
      </c>
      <c r="C23" s="149"/>
      <c r="D23" s="150"/>
      <c r="E23" s="151"/>
      <c r="F23" s="151"/>
      <c r="G23" s="151"/>
      <c r="H23" s="151"/>
      <c r="J23" s="105">
        <f>D34</f>
        <v>2116565.9731279998</v>
      </c>
      <c r="K23" s="123" t="s">
        <v>41</v>
      </c>
    </row>
    <row r="24" spans="1:15" ht="18" customHeight="1" x14ac:dyDescent="0.2">
      <c r="A24" s="176" t="s">
        <v>14</v>
      </c>
      <c r="B24" s="143">
        <v>1536199.1759240001</v>
      </c>
      <c r="C24" s="149"/>
      <c r="D24" s="150"/>
      <c r="E24" s="151"/>
      <c r="F24" s="151"/>
      <c r="G24" s="151"/>
      <c r="H24" s="151"/>
      <c r="J24" s="105">
        <v>10835.795</v>
      </c>
      <c r="K24" s="123" t="s">
        <v>43</v>
      </c>
    </row>
    <row r="25" spans="1:15" ht="18" customHeight="1" x14ac:dyDescent="0.2">
      <c r="A25" s="157" t="s">
        <v>10</v>
      </c>
      <c r="B25" s="143">
        <v>120122.06050000001</v>
      </c>
      <c r="C25" s="149"/>
      <c r="D25" s="150"/>
      <c r="E25" s="151"/>
      <c r="F25" s="151"/>
      <c r="G25" s="151"/>
      <c r="H25" s="151"/>
      <c r="J25" s="108">
        <f>B21-J22-J23-J24</f>
        <v>3.9108272176235914E-10</v>
      </c>
    </row>
    <row r="26" spans="1:15" ht="18" customHeight="1" x14ac:dyDescent="0.2">
      <c r="A26" s="157" t="s">
        <v>12</v>
      </c>
      <c r="B26" s="143">
        <v>71838.823999999993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26006763.683029123</v>
      </c>
      <c r="C29" s="105">
        <f>B22-B29-J24</f>
        <v>-1.2114651326555759E-7</v>
      </c>
      <c r="D29" s="138">
        <v>26006763.683029</v>
      </c>
      <c r="E29" s="105">
        <f>B29-D29</f>
        <v>1.2293457984924316E-7</v>
      </c>
      <c r="F29" s="133"/>
    </row>
    <row r="30" spans="1:15" hidden="1" x14ac:dyDescent="0.2">
      <c r="A30" s="188" t="s">
        <v>32</v>
      </c>
      <c r="B30" s="105">
        <v>388405.91270400002</v>
      </c>
      <c r="C30" s="105">
        <f>B23-B30</f>
        <v>0</v>
      </c>
      <c r="D30" s="138">
        <v>388405.91270400002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1536199.1759239999</v>
      </c>
      <c r="C31" s="105">
        <f>B24-B31</f>
        <v>0</v>
      </c>
      <c r="D31" s="138">
        <v>1536199.1759240001</v>
      </c>
      <c r="E31" s="105">
        <f>B31-D31</f>
        <v>0</v>
      </c>
    </row>
    <row r="32" spans="1:15" hidden="1" x14ac:dyDescent="0.2">
      <c r="A32" s="188" t="s">
        <v>10</v>
      </c>
      <c r="B32" s="105">
        <v>120122.06050000002</v>
      </c>
      <c r="C32" s="105">
        <f>B25-B32</f>
        <v>0</v>
      </c>
      <c r="D32" s="138">
        <v>120122.06050000001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71838.824000000066</v>
      </c>
      <c r="C33" s="105">
        <f>B26-B33</f>
        <v>0</v>
      </c>
      <c r="D33" s="138">
        <v>71838.823999999993</v>
      </c>
      <c r="E33" s="105">
        <f>B33-D33</f>
        <v>0</v>
      </c>
    </row>
    <row r="34" spans="1:10" hidden="1" x14ac:dyDescent="0.2">
      <c r="B34" s="105">
        <f>SUM(B30:B33)</f>
        <v>2116565.9731279998</v>
      </c>
      <c r="C34" s="105">
        <f>SUM(C29:C33)</f>
        <v>-1.2114651326555759E-7</v>
      </c>
      <c r="D34" s="138">
        <f>SUM(D30:D33)</f>
        <v>2116565.9731279998</v>
      </c>
      <c r="E34" s="105">
        <f>SUM(E29:E33)</f>
        <v>1.2293457984924316E-7</v>
      </c>
      <c r="J34" s="132"/>
    </row>
    <row r="35" spans="1:10" hidden="1" x14ac:dyDescent="0.2">
      <c r="B35" s="139">
        <f>B34+B29+J24-B22</f>
        <v>2116565.9731281213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A60D-A5E6-4D98-AF14-899DEE2F73C5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45352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03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104025817.74528801</v>
      </c>
      <c r="C6" s="166">
        <f t="shared" ref="C6:H6" si="0">C7+C8</f>
        <v>3999765.8771210001</v>
      </c>
      <c r="D6" s="166">
        <f t="shared" si="0"/>
        <v>14709392.673853004</v>
      </c>
      <c r="E6" s="166">
        <f t="shared" si="0"/>
        <v>5121082.7661950011</v>
      </c>
      <c r="F6" s="166">
        <f t="shared" si="0"/>
        <v>27779611.632486999</v>
      </c>
      <c r="G6" s="166">
        <f t="shared" si="0"/>
        <v>285927.35953900003</v>
      </c>
      <c r="H6" s="174">
        <f t="shared" si="0"/>
        <v>52130037.436092995</v>
      </c>
      <c r="J6" s="153">
        <v>104034336.74528798</v>
      </c>
      <c r="K6" s="154" t="s">
        <v>38</v>
      </c>
      <c r="L6" s="155"/>
      <c r="M6" s="156" t="s">
        <v>19</v>
      </c>
      <c r="N6" s="156" t="s">
        <v>20</v>
      </c>
      <c r="O6" s="156" t="s">
        <v>21</v>
      </c>
      <c r="P6" s="156" t="s">
        <v>22</v>
      </c>
      <c r="Q6" s="156" t="s">
        <v>23</v>
      </c>
      <c r="R6" s="156" t="s">
        <v>24</v>
      </c>
      <c r="S6" s="156" t="s">
        <v>25</v>
      </c>
    </row>
    <row r="7" spans="1:19" ht="18" customHeight="1" x14ac:dyDescent="0.2">
      <c r="A7" s="160" t="s">
        <v>29</v>
      </c>
      <c r="B7" s="141">
        <f>SUM(C7:H7)</f>
        <v>100026051.86816701</v>
      </c>
      <c r="C7" s="141">
        <f>C10+C13</f>
        <v>0</v>
      </c>
      <c r="D7" s="141">
        <f>D10+D13</f>
        <v>14709392.673853004</v>
      </c>
      <c r="E7" s="141">
        <f t="shared" ref="E7:H7" si="1">E10+E13</f>
        <v>5121082.7661950011</v>
      </c>
      <c r="F7" s="141">
        <f t="shared" si="1"/>
        <v>27779611.632486999</v>
      </c>
      <c r="G7" s="141">
        <f t="shared" si="1"/>
        <v>285927.35953900003</v>
      </c>
      <c r="H7" s="141">
        <f t="shared" si="1"/>
        <v>52130037.436092995</v>
      </c>
      <c r="J7" s="108">
        <f>B6-J6+S14</f>
        <v>2.9802322387695313E-8</v>
      </c>
      <c r="L7" s="109" t="s">
        <v>26</v>
      </c>
      <c r="M7" s="110"/>
      <c r="N7" s="110">
        <v>0</v>
      </c>
      <c r="O7" s="110"/>
      <c r="P7" s="110"/>
      <c r="Q7" s="110"/>
      <c r="R7" s="110"/>
      <c r="S7" s="111">
        <v>0</v>
      </c>
    </row>
    <row r="8" spans="1:19" ht="18" customHeight="1" x14ac:dyDescent="0.2">
      <c r="A8" s="157" t="s">
        <v>48</v>
      </c>
      <c r="B8" s="143">
        <f t="shared" ref="B8" si="2">SUM(C8:H8)</f>
        <v>3999765.8771210001</v>
      </c>
      <c r="C8" s="143">
        <f>C11+C14</f>
        <v>3999765.8771210001</v>
      </c>
      <c r="D8" s="143">
        <f t="shared" ref="D8:H8" si="3">D11+D14</f>
        <v>0</v>
      </c>
      <c r="E8" s="143">
        <f t="shared" si="3"/>
        <v>0</v>
      </c>
      <c r="F8" s="143">
        <f t="shared" si="3"/>
        <v>0</v>
      </c>
      <c r="G8" s="143">
        <f t="shared" si="3"/>
        <v>0</v>
      </c>
      <c r="H8" s="143">
        <f t="shared" si="3"/>
        <v>0</v>
      </c>
      <c r="J8" s="112"/>
      <c r="L8" s="113" t="s">
        <v>17</v>
      </c>
      <c r="M8" s="114"/>
      <c r="N8" s="114"/>
      <c r="O8" s="114"/>
      <c r="P8" s="114"/>
      <c r="Q8" s="114"/>
      <c r="R8" s="114"/>
      <c r="S8" s="115" t="s">
        <v>18</v>
      </c>
    </row>
    <row r="9" spans="1:19" ht="18" customHeight="1" x14ac:dyDescent="0.2">
      <c r="A9" s="158" t="s">
        <v>3</v>
      </c>
      <c r="B9" s="144">
        <f>SUM(C9:H9)</f>
        <v>41698998.096399993</v>
      </c>
      <c r="C9" s="144">
        <f t="shared" ref="C9:H9" si="4">SUM(C10:C11)</f>
        <v>271564.17</v>
      </c>
      <c r="D9" s="144">
        <f t="shared" si="4"/>
        <v>651551.69999999995</v>
      </c>
      <c r="E9" s="144">
        <f t="shared" si="4"/>
        <v>134844</v>
      </c>
      <c r="F9" s="144">
        <f t="shared" si="4"/>
        <v>2958421.4142000005</v>
      </c>
      <c r="G9" s="144">
        <f t="shared" si="4"/>
        <v>9760</v>
      </c>
      <c r="H9" s="144">
        <f t="shared" si="4"/>
        <v>37672856.812199995</v>
      </c>
      <c r="L9" s="106"/>
      <c r="M9" s="107" t="s">
        <v>19</v>
      </c>
      <c r="N9" s="107" t="s">
        <v>20</v>
      </c>
      <c r="O9" s="107" t="s">
        <v>21</v>
      </c>
      <c r="P9" s="107" t="s">
        <v>22</v>
      </c>
      <c r="Q9" s="107" t="s">
        <v>23</v>
      </c>
      <c r="R9" s="107" t="s">
        <v>24</v>
      </c>
      <c r="S9" s="107" t="s">
        <v>25</v>
      </c>
    </row>
    <row r="10" spans="1:19" ht="18" customHeight="1" x14ac:dyDescent="0.2">
      <c r="A10" s="157" t="s">
        <v>29</v>
      </c>
      <c r="B10" s="143">
        <f>SUM(C10:H10)</f>
        <v>41427433.926399998</v>
      </c>
      <c r="C10" s="143">
        <v>0</v>
      </c>
      <c r="D10" s="143">
        <v>651551.69999999995</v>
      </c>
      <c r="E10" s="143">
        <v>134844</v>
      </c>
      <c r="F10" s="143">
        <v>2958421.4142000005</v>
      </c>
      <c r="G10" s="143">
        <v>9760</v>
      </c>
      <c r="H10" s="143">
        <v>37672856.812199995</v>
      </c>
      <c r="L10" s="109" t="s">
        <v>26</v>
      </c>
      <c r="M10" s="110"/>
      <c r="N10" s="110">
        <v>0</v>
      </c>
      <c r="O10" s="110"/>
      <c r="P10" s="110"/>
      <c r="Q10" s="110"/>
      <c r="R10" s="110"/>
      <c r="S10" s="111">
        <v>0</v>
      </c>
    </row>
    <row r="11" spans="1:19" ht="18" customHeight="1" x14ac:dyDescent="0.2">
      <c r="A11" s="157" t="s">
        <v>48</v>
      </c>
      <c r="B11" s="143">
        <f>SUM(C11:H11)</f>
        <v>271564.17</v>
      </c>
      <c r="C11" s="143">
        <v>271564.17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09" t="s">
        <v>27</v>
      </c>
      <c r="M11" s="110"/>
      <c r="N11" s="110">
        <v>0</v>
      </c>
      <c r="O11" s="110">
        <v>5808</v>
      </c>
      <c r="P11" s="110">
        <v>2711</v>
      </c>
      <c r="Q11" s="110"/>
      <c r="R11" s="110"/>
      <c r="S11" s="111">
        <v>8519</v>
      </c>
    </row>
    <row r="12" spans="1:19" ht="18" customHeight="1" x14ac:dyDescent="0.2">
      <c r="A12" s="158" t="s">
        <v>4</v>
      </c>
      <c r="B12" s="144">
        <f>SUM(C12:H12)</f>
        <v>62326819.648888007</v>
      </c>
      <c r="C12" s="144">
        <f t="shared" ref="C12:H12" si="5">SUM(C13:C14)</f>
        <v>3728201.7071210002</v>
      </c>
      <c r="D12" s="144">
        <f t="shared" si="5"/>
        <v>14057840.973853005</v>
      </c>
      <c r="E12" s="144">
        <f t="shared" si="5"/>
        <v>4986238.7661950011</v>
      </c>
      <c r="F12" s="144">
        <f t="shared" si="5"/>
        <v>24821190.218286999</v>
      </c>
      <c r="G12" s="144">
        <f t="shared" si="5"/>
        <v>276167.35953900003</v>
      </c>
      <c r="H12" s="144">
        <f t="shared" si="5"/>
        <v>14457180.623893</v>
      </c>
      <c r="L12" s="109" t="s">
        <v>1</v>
      </c>
      <c r="M12" s="116">
        <v>0</v>
      </c>
      <c r="N12" s="116">
        <v>0</v>
      </c>
      <c r="O12" s="116">
        <v>5808</v>
      </c>
      <c r="P12" s="116">
        <v>2711</v>
      </c>
      <c r="Q12" s="116">
        <v>0</v>
      </c>
      <c r="R12" s="116">
        <v>0</v>
      </c>
      <c r="S12" s="116">
        <v>8519</v>
      </c>
    </row>
    <row r="13" spans="1:19" ht="18" customHeight="1" x14ac:dyDescent="0.2">
      <c r="A13" s="157" t="s">
        <v>29</v>
      </c>
      <c r="B13" s="143">
        <f t="shared" ref="B13:B14" si="6">SUM(C13:H13)</f>
        <v>58598617.941767007</v>
      </c>
      <c r="C13" s="143">
        <v>0</v>
      </c>
      <c r="D13" s="143">
        <v>14057840.973853005</v>
      </c>
      <c r="E13" s="143">
        <v>4986238.7661950011</v>
      </c>
      <c r="F13" s="143">
        <v>24821190.218286999</v>
      </c>
      <c r="G13" s="143">
        <v>276167.35953900003</v>
      </c>
      <c r="H13" s="143">
        <f>14465699.623893-8519</f>
        <v>14457180.623893</v>
      </c>
      <c r="I13" s="117"/>
      <c r="L13" s="109"/>
      <c r="M13" s="118"/>
      <c r="N13" s="118"/>
      <c r="O13" s="118"/>
      <c r="P13" s="118"/>
      <c r="Q13" s="118"/>
      <c r="R13" s="118"/>
      <c r="S13" s="119">
        <v>0</v>
      </c>
    </row>
    <row r="14" spans="1:19" ht="18" customHeight="1" x14ac:dyDescent="0.2">
      <c r="A14" s="157" t="s">
        <v>48</v>
      </c>
      <c r="B14" s="143">
        <f t="shared" si="6"/>
        <v>3728201.7071210002</v>
      </c>
      <c r="C14" s="143">
        <v>3728201.7071210002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  <c r="L14" s="121" t="s">
        <v>25</v>
      </c>
      <c r="M14" s="122">
        <v>0</v>
      </c>
      <c r="N14" s="122">
        <v>0</v>
      </c>
      <c r="O14" s="122">
        <v>5808</v>
      </c>
      <c r="P14" s="122">
        <v>2711</v>
      </c>
      <c r="Q14" s="122">
        <v>0</v>
      </c>
      <c r="R14" s="122">
        <v>0</v>
      </c>
      <c r="S14" s="122">
        <v>8519</v>
      </c>
    </row>
    <row r="15" spans="1:19" ht="18" customHeight="1" x14ac:dyDescent="0.2">
      <c r="A15" s="159" t="s">
        <v>8</v>
      </c>
      <c r="B15" s="145">
        <v>6819.8099999999995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10.136592224000001</v>
      </c>
      <c r="C17" s="172">
        <f t="shared" ref="C17:H17" si="7">SUM(C18:C19)</f>
        <v>3.5434338959999998</v>
      </c>
      <c r="D17" s="172">
        <f t="shared" si="7"/>
        <v>0.19983880300000001</v>
      </c>
      <c r="E17" s="172">
        <f t="shared" si="7"/>
        <v>2.9604760000000001E-3</v>
      </c>
      <c r="F17" s="172">
        <f t="shared" si="7"/>
        <v>5.3277696519999997</v>
      </c>
      <c r="G17" s="172">
        <f t="shared" si="7"/>
        <v>0.27287182300000001</v>
      </c>
      <c r="H17" s="173">
        <f t="shared" si="7"/>
        <v>0.78971757399999998</v>
      </c>
      <c r="J17" s="126">
        <v>3.5434338959999998</v>
      </c>
      <c r="K17" s="127" t="s">
        <v>40</v>
      </c>
    </row>
    <row r="18" spans="1:14" ht="18" customHeight="1" x14ac:dyDescent="0.2">
      <c r="A18" s="160" t="s">
        <v>29</v>
      </c>
      <c r="B18" s="146">
        <f>SUM(C18:H18)</f>
        <v>6.5931583279999995</v>
      </c>
      <c r="C18" s="146">
        <v>0</v>
      </c>
      <c r="D18" s="146">
        <v>0.19983880300000001</v>
      </c>
      <c r="E18" s="146">
        <v>2.9604760000000001E-3</v>
      </c>
      <c r="F18" s="146">
        <v>5.3277696519999997</v>
      </c>
      <c r="G18" s="146">
        <v>0.27287182300000001</v>
      </c>
      <c r="H18" s="146">
        <v>0.78971757399999998</v>
      </c>
      <c r="J18" s="126">
        <v>6.5931583279999995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3.5434338959999998</v>
      </c>
      <c r="C19" s="161">
        <v>3.5434338959999998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0</v>
      </c>
      <c r="K19" s="123"/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28210891.834307998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26877903.975779999</v>
      </c>
      <c r="C22" s="147"/>
      <c r="D22" s="148"/>
      <c r="E22" s="147"/>
      <c r="F22" s="147"/>
      <c r="G22" s="147"/>
      <c r="H22" s="147"/>
      <c r="J22" s="105">
        <f>D29</f>
        <v>26873903.975779999</v>
      </c>
      <c r="K22" s="123" t="s">
        <v>42</v>
      </c>
    </row>
    <row r="23" spans="1:14" ht="30.75" customHeight="1" x14ac:dyDescent="0.2">
      <c r="A23" s="162" t="s">
        <v>32</v>
      </c>
      <c r="B23" s="143">
        <v>398726.27632800001</v>
      </c>
      <c r="C23" s="149"/>
      <c r="D23" s="150"/>
      <c r="E23" s="151"/>
      <c r="F23" s="151"/>
      <c r="G23" s="151"/>
      <c r="H23" s="151"/>
      <c r="J23" s="105">
        <f>D34</f>
        <v>1332987.8585279998</v>
      </c>
      <c r="K23" s="123" t="s">
        <v>41</v>
      </c>
    </row>
    <row r="24" spans="1:14" ht="18" customHeight="1" x14ac:dyDescent="0.2">
      <c r="A24" s="176" t="s">
        <v>14</v>
      </c>
      <c r="B24" s="143">
        <v>555744.03319999995</v>
      </c>
      <c r="C24" s="149"/>
      <c r="D24" s="150"/>
      <c r="E24" s="151"/>
      <c r="F24" s="151"/>
      <c r="G24" s="151"/>
      <c r="H24" s="151"/>
      <c r="J24" s="105">
        <v>4000</v>
      </c>
      <c r="K24" s="123" t="s">
        <v>43</v>
      </c>
    </row>
    <row r="25" spans="1:14" ht="18" customHeight="1" x14ac:dyDescent="0.2">
      <c r="A25" s="157" t="s">
        <v>10</v>
      </c>
      <c r="B25" s="143">
        <v>200945.11900000001</v>
      </c>
      <c r="C25" s="149"/>
      <c r="D25" s="150"/>
      <c r="E25" s="151"/>
      <c r="F25" s="151"/>
      <c r="G25" s="151"/>
      <c r="H25" s="151"/>
      <c r="J25" s="108">
        <f>B21-J22-J23-J24</f>
        <v>-4.6566128730773926E-10</v>
      </c>
    </row>
    <row r="26" spans="1:14" ht="18" customHeight="1" x14ac:dyDescent="0.2">
      <c r="A26" s="157" t="s">
        <v>12</v>
      </c>
      <c r="B26" s="143">
        <v>177572.43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26873903.975780033</v>
      </c>
      <c r="C29" s="105">
        <f>B22-B29-J24</f>
        <v>-3.3527612686157227E-8</v>
      </c>
      <c r="D29" s="138">
        <v>26873903.975779999</v>
      </c>
      <c r="E29" s="105">
        <f>B29-D29</f>
        <v>3.3527612686157227E-8</v>
      </c>
      <c r="F29" s="133">
        <f>B29+J24</f>
        <v>26877903.975780033</v>
      </c>
    </row>
    <row r="30" spans="1:14" hidden="1" x14ac:dyDescent="0.2">
      <c r="A30" s="123" t="s">
        <v>32</v>
      </c>
      <c r="B30" s="105">
        <v>398726.27632800001</v>
      </c>
      <c r="C30" s="105">
        <f>B23-B30</f>
        <v>0</v>
      </c>
      <c r="D30" s="138">
        <v>398726.27632800001</v>
      </c>
      <c r="E30" s="105">
        <f>B30-D30</f>
        <v>0</v>
      </c>
      <c r="F30" s="133">
        <f>B23+B24+B25+B26+F29</f>
        <v>28210891.834308032</v>
      </c>
    </row>
    <row r="31" spans="1:14" hidden="1" x14ac:dyDescent="0.2">
      <c r="A31" s="123" t="s">
        <v>14</v>
      </c>
      <c r="B31" s="105">
        <v>555744.03320000006</v>
      </c>
      <c r="C31" s="105">
        <f>B24-B31</f>
        <v>0</v>
      </c>
      <c r="D31" s="138">
        <v>555744.03319999995</v>
      </c>
      <c r="E31" s="105">
        <f>B31-D31</f>
        <v>0</v>
      </c>
    </row>
    <row r="32" spans="1:14" hidden="1" x14ac:dyDescent="0.2">
      <c r="A32" s="123" t="s">
        <v>10</v>
      </c>
      <c r="B32" s="105">
        <v>200945.11900000001</v>
      </c>
      <c r="C32" s="105">
        <f>B25-B32</f>
        <v>0</v>
      </c>
      <c r="D32" s="138">
        <v>200945.11900000001</v>
      </c>
      <c r="E32" s="105">
        <f t="shared" ref="E32" si="8">B32-D32</f>
        <v>0</v>
      </c>
    </row>
    <row r="33" spans="1:5" hidden="1" x14ac:dyDescent="0.2">
      <c r="A33" s="123" t="s">
        <v>12</v>
      </c>
      <c r="B33" s="105">
        <v>177572.43000000005</v>
      </c>
      <c r="C33" s="105">
        <f>B26-B33</f>
        <v>0</v>
      </c>
      <c r="D33" s="138">
        <v>177572.43</v>
      </c>
      <c r="E33" s="105">
        <f>B33-D33</f>
        <v>0</v>
      </c>
    </row>
    <row r="34" spans="1:5" hidden="1" x14ac:dyDescent="0.2">
      <c r="B34" s="105">
        <f>SUM(B30:B33)</f>
        <v>1332987.8585280003</v>
      </c>
      <c r="C34" s="105">
        <f>SUM(C29:C33)</f>
        <v>-3.3527612686157227E-8</v>
      </c>
      <c r="D34" s="138">
        <f>SUM(D30:D33)</f>
        <v>1332987.8585279998</v>
      </c>
      <c r="E34" s="105">
        <f>SUM(E29:E33)</f>
        <v>3.3527612686157227E-8</v>
      </c>
    </row>
    <row r="35" spans="1:5" hidden="1" x14ac:dyDescent="0.2">
      <c r="B35" s="139">
        <f>B34+B29+J24-B22</f>
        <v>1332987.8585280329</v>
      </c>
      <c r="C35" s="105"/>
      <c r="D35" s="138">
        <f>D34+D29</f>
        <v>28206891.834307998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9854-F1C0-48AF-89B4-B2EB3F77FE9A}">
  <sheetPr>
    <tabColor rgb="FFFFDDFF"/>
    <pageSetUpPr fitToPage="1"/>
  </sheetPr>
  <dimension ref="A1:S42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45383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88322795.380316988</v>
      </c>
      <c r="C6" s="166">
        <f t="shared" ref="C6:H6" si="0">C7+C8</f>
        <v>2297377.0821099998</v>
      </c>
      <c r="D6" s="166">
        <f t="shared" si="0"/>
        <v>11901683.252951998</v>
      </c>
      <c r="E6" s="166">
        <f t="shared" si="0"/>
        <v>4412473.2012019996</v>
      </c>
      <c r="F6" s="166">
        <f t="shared" si="0"/>
        <v>22893711.100409001</v>
      </c>
      <c r="G6" s="166">
        <f t="shared" si="0"/>
        <v>192579.41434300001</v>
      </c>
      <c r="H6" s="174">
        <f t="shared" si="0"/>
        <v>46624971.329300992</v>
      </c>
      <c r="J6" s="153">
        <v>88332310.380317003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>SUM(C7:H7)</f>
        <v>86025418.298206985</v>
      </c>
      <c r="C7" s="141">
        <f t="shared" ref="C7:H8" si="1">C10+C13</f>
        <v>0</v>
      </c>
      <c r="D7" s="141">
        <f t="shared" si="1"/>
        <v>11901683.252951998</v>
      </c>
      <c r="E7" s="141">
        <f t="shared" si="1"/>
        <v>4412473.2012019996</v>
      </c>
      <c r="F7" s="141">
        <f t="shared" si="1"/>
        <v>22893711.100409001</v>
      </c>
      <c r="G7" s="141">
        <f t="shared" si="1"/>
        <v>192579.41434300001</v>
      </c>
      <c r="H7" s="141">
        <f t="shared" si="1"/>
        <v>46624971.329300992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ref="B8" si="2">SUM(C8:H8)</f>
        <v>2297377.0821099998</v>
      </c>
      <c r="C8" s="143">
        <f t="shared" si="1"/>
        <v>2297377.0821099998</v>
      </c>
      <c r="D8" s="143">
        <f t="shared" si="1"/>
        <v>0</v>
      </c>
      <c r="E8" s="143">
        <f t="shared" si="1"/>
        <v>0</v>
      </c>
      <c r="F8" s="143">
        <f t="shared" si="1"/>
        <v>0</v>
      </c>
      <c r="G8" s="143">
        <f t="shared" si="1"/>
        <v>0</v>
      </c>
      <c r="H8" s="143">
        <f t="shared" si="1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f>SUM(M8:R8)</f>
        <v>0</v>
      </c>
    </row>
    <row r="9" spans="1:19" ht="18" customHeight="1" x14ac:dyDescent="0.2">
      <c r="A9" s="158" t="s">
        <v>3</v>
      </c>
      <c r="B9" s="144">
        <f>SUM(C9:H9)</f>
        <v>39216823.444599994</v>
      </c>
      <c r="C9" s="144">
        <f t="shared" ref="C9:H9" si="3">SUM(C10:C11)</f>
        <v>236612.93</v>
      </c>
      <c r="D9" s="144">
        <f t="shared" si="3"/>
        <v>652876.10000000009</v>
      </c>
      <c r="E9" s="144">
        <f t="shared" si="3"/>
        <v>114640</v>
      </c>
      <c r="F9" s="144">
        <f t="shared" si="3"/>
        <v>2868373.6454000007</v>
      </c>
      <c r="G9" s="144">
        <f t="shared" si="3"/>
        <v>4400</v>
      </c>
      <c r="H9" s="144">
        <f t="shared" si="3"/>
        <v>35339920.76919999</v>
      </c>
      <c r="L9" s="181" t="s">
        <v>27</v>
      </c>
      <c r="M9" s="110"/>
      <c r="N9" s="110">
        <v>0</v>
      </c>
      <c r="O9" s="110">
        <v>5520</v>
      </c>
      <c r="P9" s="110">
        <v>3995</v>
      </c>
      <c r="Q9" s="110"/>
      <c r="R9" s="110"/>
      <c r="S9" s="182">
        <f>SUM(M9:R9)</f>
        <v>9515</v>
      </c>
    </row>
    <row r="10" spans="1:19" ht="18" customHeight="1" x14ac:dyDescent="0.2">
      <c r="A10" s="157" t="s">
        <v>29</v>
      </c>
      <c r="B10" s="143">
        <f>SUM(C10:H10)</f>
        <v>38980210.514599994</v>
      </c>
      <c r="C10" s="143">
        <v>0</v>
      </c>
      <c r="D10" s="143">
        <v>652876.10000000009</v>
      </c>
      <c r="E10" s="143">
        <v>114640</v>
      </c>
      <c r="F10" s="143">
        <v>2868373.6454000007</v>
      </c>
      <c r="G10" s="143">
        <v>4400</v>
      </c>
      <c r="H10" s="143">
        <v>35339920.76919999</v>
      </c>
      <c r="L10" s="181" t="s">
        <v>1</v>
      </c>
      <c r="M10" s="183">
        <f t="shared" ref="M10:R10" si="4">M8+M9</f>
        <v>0</v>
      </c>
      <c r="N10" s="183">
        <f t="shared" si="4"/>
        <v>0</v>
      </c>
      <c r="O10" s="183">
        <f t="shared" si="4"/>
        <v>5520</v>
      </c>
      <c r="P10" s="183">
        <f t="shared" si="4"/>
        <v>3995</v>
      </c>
      <c r="Q10" s="183">
        <f t="shared" si="4"/>
        <v>0</v>
      </c>
      <c r="R10" s="183">
        <f t="shared" si="4"/>
        <v>0</v>
      </c>
      <c r="S10" s="183">
        <f>SUM(M10:R10)</f>
        <v>9515</v>
      </c>
    </row>
    <row r="11" spans="1:19" ht="18" customHeight="1" x14ac:dyDescent="0.2">
      <c r="A11" s="157" t="s">
        <v>48</v>
      </c>
      <c r="B11" s="143">
        <f>SUM(C11:H11)</f>
        <v>236612.93</v>
      </c>
      <c r="C11" s="143">
        <v>236612.93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f>SUM(N11:R11)</f>
        <v>0</v>
      </c>
    </row>
    <row r="12" spans="1:19" ht="18" customHeight="1" x14ac:dyDescent="0.2">
      <c r="A12" s="158" t="s">
        <v>4</v>
      </c>
      <c r="B12" s="144">
        <f>SUM(C12:H12)</f>
        <v>49105971.935717002</v>
      </c>
      <c r="C12" s="144">
        <f t="shared" ref="C12:H12" si="5">SUM(C13:C14)</f>
        <v>2060764.1521099999</v>
      </c>
      <c r="D12" s="144">
        <f t="shared" si="5"/>
        <v>11248807.152951999</v>
      </c>
      <c r="E12" s="144">
        <f t="shared" si="5"/>
        <v>4297833.2012019996</v>
      </c>
      <c r="F12" s="144">
        <f t="shared" si="5"/>
        <v>20025337.455008999</v>
      </c>
      <c r="G12" s="144">
        <f t="shared" si="5"/>
        <v>188179.41434300001</v>
      </c>
      <c r="H12" s="144">
        <f t="shared" si="5"/>
        <v>11285050.560101001</v>
      </c>
      <c r="L12" s="185" t="s">
        <v>25</v>
      </c>
      <c r="M12" s="186">
        <f t="shared" ref="M12:R12" si="6">M10+M11</f>
        <v>0</v>
      </c>
      <c r="N12" s="186">
        <f t="shared" si="6"/>
        <v>0</v>
      </c>
      <c r="O12" s="186">
        <f t="shared" si="6"/>
        <v>5520</v>
      </c>
      <c r="P12" s="186">
        <f t="shared" si="6"/>
        <v>3995</v>
      </c>
      <c r="Q12" s="186">
        <f t="shared" si="6"/>
        <v>0</v>
      </c>
      <c r="R12" s="186">
        <f t="shared" si="6"/>
        <v>0</v>
      </c>
      <c r="S12" s="187">
        <f>SUM(M12:R12)</f>
        <v>9515</v>
      </c>
    </row>
    <row r="13" spans="1:19" ht="18" customHeight="1" x14ac:dyDescent="0.2">
      <c r="A13" s="157" t="s">
        <v>29</v>
      </c>
      <c r="B13" s="143">
        <f t="shared" ref="B13:B14" si="7">SUM(C13:H13)</f>
        <v>47045207.783606999</v>
      </c>
      <c r="C13" s="143">
        <v>0</v>
      </c>
      <c r="D13" s="143">
        <v>11248807.152951999</v>
      </c>
      <c r="E13" s="143">
        <v>4297833.2012019996</v>
      </c>
      <c r="F13" s="143">
        <v>20025337.455008999</v>
      </c>
      <c r="G13" s="143">
        <v>188179.41434300001</v>
      </c>
      <c r="H13" s="143">
        <f>11294565.560101-9515</f>
        <v>11285050.560101001</v>
      </c>
      <c r="I13" s="117"/>
    </row>
    <row r="14" spans="1:19" ht="18" customHeight="1" x14ac:dyDescent="0.2">
      <c r="A14" s="157" t="s">
        <v>48</v>
      </c>
      <c r="B14" s="143">
        <f t="shared" si="7"/>
        <v>2060764.1521099999</v>
      </c>
      <c r="C14" s="143">
        <v>2060764.1521099999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2547.3249999999998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8.2869979390000008</v>
      </c>
      <c r="C17" s="172">
        <f t="shared" ref="C17:H17" si="8">SUM(C18:C19)</f>
        <v>2.647653187</v>
      </c>
      <c r="D17" s="172">
        <f t="shared" si="8"/>
        <v>0.203383169</v>
      </c>
      <c r="E17" s="172">
        <f t="shared" si="8"/>
        <v>2.7737980000000001E-3</v>
      </c>
      <c r="F17" s="172">
        <f t="shared" si="8"/>
        <v>4.6528153919999999</v>
      </c>
      <c r="G17" s="172">
        <f t="shared" si="8"/>
        <v>0.22507591900000001</v>
      </c>
      <c r="H17" s="173">
        <f t="shared" si="8"/>
        <v>0.55529647400000004</v>
      </c>
      <c r="J17" s="126">
        <v>2.647653187</v>
      </c>
      <c r="K17" s="127" t="s">
        <v>57</v>
      </c>
      <c r="L17" s="128">
        <v>8.2869979390000008</v>
      </c>
      <c r="M17" s="128">
        <f>B17-L17</f>
        <v>0</v>
      </c>
    </row>
    <row r="18" spans="1:14" ht="18" customHeight="1" x14ac:dyDescent="0.2">
      <c r="A18" s="160" t="s">
        <v>29</v>
      </c>
      <c r="B18" s="146">
        <f>SUM(C18:H18)</f>
        <v>5.6393447520000004</v>
      </c>
      <c r="C18" s="146">
        <v>0</v>
      </c>
      <c r="D18" s="146">
        <v>0.203383169</v>
      </c>
      <c r="E18" s="146">
        <v>2.7737980000000001E-3</v>
      </c>
      <c r="F18" s="146">
        <v>4.6528153919999999</v>
      </c>
      <c r="G18" s="146">
        <v>0.22507591900000001</v>
      </c>
      <c r="H18" s="146">
        <v>0.55529647400000004</v>
      </c>
      <c r="J18" s="126">
        <v>5.6346304660000008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2.647653187</v>
      </c>
      <c r="C19" s="161">
        <v>2.647653187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4.7142860000004561E-3</v>
      </c>
      <c r="K19" s="123" t="s">
        <v>56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16191260.516102999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15200931.328069</v>
      </c>
      <c r="C22" s="147"/>
      <c r="D22" s="148"/>
      <c r="E22" s="147"/>
      <c r="F22" s="147"/>
      <c r="G22" s="147"/>
      <c r="H22" s="147"/>
      <c r="J22" s="105">
        <f>D29</f>
        <v>15235583.128069</v>
      </c>
      <c r="K22" s="123" t="s">
        <v>42</v>
      </c>
    </row>
    <row r="23" spans="1:14" ht="30.75" customHeight="1" x14ac:dyDescent="0.2">
      <c r="A23" s="162" t="s">
        <v>32</v>
      </c>
      <c r="B23" s="143">
        <v>369274.16473399999</v>
      </c>
      <c r="C23" s="149"/>
      <c r="D23" s="150"/>
      <c r="E23" s="151"/>
      <c r="F23" s="151"/>
      <c r="G23" s="151"/>
      <c r="H23" s="151"/>
      <c r="J23" s="105">
        <f>D34</f>
        <v>990329.18803399999</v>
      </c>
      <c r="K23" s="123" t="s">
        <v>41</v>
      </c>
    </row>
    <row r="24" spans="1:14" ht="18" customHeight="1" x14ac:dyDescent="0.2">
      <c r="A24" s="176" t="s">
        <v>14</v>
      </c>
      <c r="B24" s="143">
        <v>505111.63630000001</v>
      </c>
      <c r="C24" s="149"/>
      <c r="D24" s="150"/>
      <c r="E24" s="151"/>
      <c r="F24" s="151"/>
      <c r="G24" s="151"/>
      <c r="H24" s="151"/>
      <c r="J24" s="105">
        <v>-34651.800000000003</v>
      </c>
      <c r="K24" s="123" t="s">
        <v>43</v>
      </c>
    </row>
    <row r="25" spans="1:14" ht="18" customHeight="1" x14ac:dyDescent="0.2">
      <c r="A25" s="157" t="s">
        <v>10</v>
      </c>
      <c r="B25" s="143">
        <v>87847.502999999997</v>
      </c>
      <c r="C25" s="149"/>
      <c r="D25" s="150"/>
      <c r="E25" s="151"/>
      <c r="F25" s="151"/>
      <c r="G25" s="151"/>
      <c r="H25" s="151"/>
      <c r="J25" s="108">
        <f>B21-J22-J23-J24</f>
        <v>-8.5856299847364426E-10</v>
      </c>
    </row>
    <row r="26" spans="1:14" ht="18" customHeight="1" x14ac:dyDescent="0.2">
      <c r="A26" s="157" t="s">
        <v>12</v>
      </c>
      <c r="B26" s="143">
        <v>28095.883999999998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15235583.128069013</v>
      </c>
      <c r="C29" s="105">
        <f>B22-B29-J24</f>
        <v>-1.3780663721263409E-8</v>
      </c>
      <c r="D29" s="138">
        <v>15235583.128069</v>
      </c>
      <c r="E29" s="105">
        <f>B29-D29</f>
        <v>0</v>
      </c>
      <c r="F29" s="133"/>
    </row>
    <row r="30" spans="1:14" hidden="1" x14ac:dyDescent="0.2">
      <c r="A30" s="123" t="s">
        <v>32</v>
      </c>
      <c r="B30" s="105">
        <v>369274.16473399999</v>
      </c>
      <c r="C30" s="105">
        <f>B23-B30</f>
        <v>0</v>
      </c>
      <c r="D30" s="138">
        <v>369274.16473399999</v>
      </c>
      <c r="E30" s="105">
        <f>B30-D30</f>
        <v>0</v>
      </c>
      <c r="F30" s="133"/>
    </row>
    <row r="31" spans="1:14" hidden="1" x14ac:dyDescent="0.2">
      <c r="A31" s="123" t="s">
        <v>14</v>
      </c>
      <c r="B31" s="105">
        <v>505111.63630000025</v>
      </c>
      <c r="C31" s="105">
        <f>B24-B31</f>
        <v>0</v>
      </c>
      <c r="D31" s="138">
        <v>505111.63630000001</v>
      </c>
      <c r="E31" s="105">
        <f>B31-D31</f>
        <v>0</v>
      </c>
    </row>
    <row r="32" spans="1:14" hidden="1" x14ac:dyDescent="0.2">
      <c r="A32" s="123" t="s">
        <v>10</v>
      </c>
      <c r="B32" s="105">
        <v>87847.502999999997</v>
      </c>
      <c r="C32" s="105">
        <f>B25-B32</f>
        <v>0</v>
      </c>
      <c r="D32" s="138">
        <v>87847.502999999997</v>
      </c>
      <c r="E32" s="105">
        <f t="shared" ref="E32" si="9">B32-D32</f>
        <v>0</v>
      </c>
    </row>
    <row r="33" spans="1:5" hidden="1" x14ac:dyDescent="0.2">
      <c r="A33" s="123" t="s">
        <v>12</v>
      </c>
      <c r="B33" s="105">
        <v>28095.88400000002</v>
      </c>
      <c r="C33" s="105">
        <f>B26-B33</f>
        <v>0</v>
      </c>
      <c r="D33" s="138">
        <v>28095.883999999998</v>
      </c>
      <c r="E33" s="105">
        <f>B33-D33</f>
        <v>0</v>
      </c>
    </row>
    <row r="34" spans="1:5" hidden="1" x14ac:dyDescent="0.2">
      <c r="B34" s="105">
        <f>SUM(B30:B33)</f>
        <v>990329.18803400034</v>
      </c>
      <c r="C34" s="105">
        <f>SUM(C29:C33)</f>
        <v>-1.3780663721263409E-8</v>
      </c>
      <c r="D34" s="138">
        <f>SUM(D30:D33)</f>
        <v>990329.18803399999</v>
      </c>
      <c r="E34" s="105">
        <f>SUM(E29:E33)</f>
        <v>0</v>
      </c>
    </row>
    <row r="35" spans="1:5" hidden="1" x14ac:dyDescent="0.2">
      <c r="B35" s="139">
        <f>B34+B29+J24-B22</f>
        <v>990329.18803401291</v>
      </c>
      <c r="C35" s="105"/>
      <c r="D35" s="138">
        <f>D34+D29</f>
        <v>16225912.316103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132-B241-4AAA-A91B-C396962EE23D}">
  <sheetPr>
    <tabColor rgb="FFFFDDFF"/>
    <pageSetUpPr fitToPage="1"/>
  </sheetPr>
  <dimension ref="A1:S44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45413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87031014.726912007</v>
      </c>
      <c r="C6" s="166">
        <f t="shared" ref="C6:H6" si="0">C7+C8</f>
        <v>2110638.7471779999</v>
      </c>
      <c r="D6" s="166">
        <f t="shared" si="0"/>
        <v>11231830.706631001</v>
      </c>
      <c r="E6" s="166">
        <f t="shared" si="0"/>
        <v>4233390.2314519994</v>
      </c>
      <c r="F6" s="166">
        <f t="shared" si="0"/>
        <v>23138033.956858002</v>
      </c>
      <c r="G6" s="166">
        <f t="shared" si="0"/>
        <v>184962.72249799999</v>
      </c>
      <c r="H6" s="174">
        <f t="shared" si="0"/>
        <v>46132158.362295002</v>
      </c>
      <c r="J6" s="153">
        <v>87063262.726912022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84920375.979734004</v>
      </c>
      <c r="C7" s="141">
        <f t="shared" ref="C7:H8" si="2">C10+C13</f>
        <v>0</v>
      </c>
      <c r="D7" s="141">
        <f t="shared" si="2"/>
        <v>11231830.706631001</v>
      </c>
      <c r="E7" s="141">
        <f t="shared" si="2"/>
        <v>4233390.2314519994</v>
      </c>
      <c r="F7" s="141">
        <f t="shared" si="2"/>
        <v>23138033.956858002</v>
      </c>
      <c r="G7" s="141">
        <f t="shared" si="2"/>
        <v>184962.72249799999</v>
      </c>
      <c r="H7" s="141">
        <f t="shared" si="2"/>
        <v>46132158.362295002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2110638.7471779999</v>
      </c>
      <c r="C8" s="143">
        <f t="shared" si="2"/>
        <v>2110638.7471779999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40267271.380600005</v>
      </c>
      <c r="C9" s="144">
        <f t="shared" ref="C9:H9" si="3">SUM(C10:C11)</f>
        <v>201584.25</v>
      </c>
      <c r="D9" s="144">
        <f t="shared" si="3"/>
        <v>709368.99999999988</v>
      </c>
      <c r="E9" s="144">
        <f t="shared" si="3"/>
        <v>129914</v>
      </c>
      <c r="F9" s="144">
        <f t="shared" si="3"/>
        <v>3376085.3650000002</v>
      </c>
      <c r="G9" s="144">
        <f t="shared" si="3"/>
        <v>3800</v>
      </c>
      <c r="H9" s="144">
        <f t="shared" si="3"/>
        <v>35846518.765600003</v>
      </c>
      <c r="L9" s="181" t="s">
        <v>27</v>
      </c>
      <c r="M9" s="110">
        <v>23672</v>
      </c>
      <c r="N9" s="110">
        <v>0</v>
      </c>
      <c r="O9" s="110">
        <v>2970</v>
      </c>
      <c r="P9" s="110">
        <v>5606</v>
      </c>
      <c r="Q9" s="110"/>
      <c r="R9" s="110"/>
      <c r="S9" s="182">
        <v>32248</v>
      </c>
    </row>
    <row r="10" spans="1:19" ht="18" customHeight="1" x14ac:dyDescent="0.2">
      <c r="A10" s="157" t="s">
        <v>29</v>
      </c>
      <c r="B10" s="143">
        <f t="shared" si="1"/>
        <v>40065687.130600005</v>
      </c>
      <c r="C10" s="143">
        <v>0</v>
      </c>
      <c r="D10" s="143">
        <v>709368.99999999988</v>
      </c>
      <c r="E10" s="143">
        <v>129914</v>
      </c>
      <c r="F10" s="143">
        <v>3376085.3650000002</v>
      </c>
      <c r="G10" s="143">
        <v>3800</v>
      </c>
      <c r="H10" s="143">
        <v>35846518.765600003</v>
      </c>
      <c r="L10" s="181" t="s">
        <v>1</v>
      </c>
      <c r="M10" s="183">
        <v>23672</v>
      </c>
      <c r="N10" s="183">
        <v>0</v>
      </c>
      <c r="O10" s="183">
        <v>2970</v>
      </c>
      <c r="P10" s="183">
        <v>5606</v>
      </c>
      <c r="Q10" s="183">
        <v>0</v>
      </c>
      <c r="R10" s="183">
        <v>0</v>
      </c>
      <c r="S10" s="183">
        <v>32248</v>
      </c>
    </row>
    <row r="11" spans="1:19" ht="18" customHeight="1" x14ac:dyDescent="0.2">
      <c r="A11" s="157" t="s">
        <v>48</v>
      </c>
      <c r="B11" s="143">
        <f t="shared" si="1"/>
        <v>201584.25</v>
      </c>
      <c r="C11" s="143">
        <v>201584.25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46763743.346311994</v>
      </c>
      <c r="C12" s="144">
        <f t="shared" ref="C12:G12" si="4">SUM(C13:C14)</f>
        <v>1909054.4971779999</v>
      </c>
      <c r="D12" s="144">
        <f t="shared" si="4"/>
        <v>10522461.706631001</v>
      </c>
      <c r="E12" s="144">
        <f t="shared" si="4"/>
        <v>4103476.2314519994</v>
      </c>
      <c r="F12" s="144">
        <f t="shared" si="4"/>
        <v>19761948.591858</v>
      </c>
      <c r="G12" s="144">
        <f t="shared" si="4"/>
        <v>181162.72249799999</v>
      </c>
      <c r="H12" s="144">
        <f>SUM(H13:H14)</f>
        <v>10285639.596695</v>
      </c>
      <c r="L12" s="185" t="s">
        <v>25</v>
      </c>
      <c r="M12" s="186">
        <v>23672</v>
      </c>
      <c r="N12" s="186">
        <v>0</v>
      </c>
      <c r="O12" s="186">
        <v>2970</v>
      </c>
      <c r="P12" s="186">
        <v>5606</v>
      </c>
      <c r="Q12" s="186">
        <v>0</v>
      </c>
      <c r="R12" s="186">
        <v>0</v>
      </c>
      <c r="S12" s="187">
        <v>32248</v>
      </c>
    </row>
    <row r="13" spans="1:19" ht="18" customHeight="1" x14ac:dyDescent="0.2">
      <c r="A13" s="157" t="s">
        <v>29</v>
      </c>
      <c r="B13" s="143">
        <f t="shared" si="1"/>
        <v>44854688.849133998</v>
      </c>
      <c r="C13" s="143">
        <v>0</v>
      </c>
      <c r="D13" s="143">
        <v>10522461.706631001</v>
      </c>
      <c r="E13" s="143">
        <v>4103476.2314519994</v>
      </c>
      <c r="F13" s="143">
        <v>19761948.591858</v>
      </c>
      <c r="G13" s="143">
        <v>181162.72249799999</v>
      </c>
      <c r="H13" s="143">
        <f>10317887.596695-32248</f>
        <v>10285639.596695</v>
      </c>
      <c r="I13" s="117"/>
    </row>
    <row r="14" spans="1:19" ht="18" customHeight="1" x14ac:dyDescent="0.2">
      <c r="A14" s="157" t="s">
        <v>48</v>
      </c>
      <c r="B14" s="143">
        <f t="shared" si="1"/>
        <v>1909054.4971779999</v>
      </c>
      <c r="C14" s="143">
        <v>1909054.4971779999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3573.067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8.5155196679999996</v>
      </c>
      <c r="C17" s="172">
        <f t="shared" ref="C17:H17" si="5">SUM(C18:C19)</f>
        <v>2.3211648239999998</v>
      </c>
      <c r="D17" s="172">
        <f t="shared" si="5"/>
        <v>0.20381164600000001</v>
      </c>
      <c r="E17" s="172">
        <f t="shared" si="5"/>
        <v>2.5239809999999998E-3</v>
      </c>
      <c r="F17" s="172">
        <f t="shared" si="5"/>
        <v>5.3710319020000004</v>
      </c>
      <c r="G17" s="172">
        <f t="shared" si="5"/>
        <v>0.22670799599999999</v>
      </c>
      <c r="H17" s="173">
        <f t="shared" si="5"/>
        <v>0.39027931900000001</v>
      </c>
      <c r="J17" s="126">
        <v>2.3211648239999998</v>
      </c>
      <c r="K17" s="127" t="s">
        <v>57</v>
      </c>
      <c r="L17" s="128">
        <v>8.5106696680000002</v>
      </c>
      <c r="M17" s="128">
        <f>B17-L17</f>
        <v>4.8499999999993548E-3</v>
      </c>
    </row>
    <row r="18" spans="1:14" ht="18" customHeight="1" x14ac:dyDescent="0.2">
      <c r="A18" s="160" t="s">
        <v>29</v>
      </c>
      <c r="B18" s="146">
        <f>SUM(C18:H18)</f>
        <v>6.1943548440000002</v>
      </c>
      <c r="C18" s="146">
        <v>0</v>
      </c>
      <c r="D18" s="146">
        <v>0.20381164600000001</v>
      </c>
      <c r="E18" s="146">
        <v>2.5239809999999998E-3</v>
      </c>
      <c r="F18" s="146">
        <v>5.3710319020000004</v>
      </c>
      <c r="G18" s="146">
        <v>0.22670799599999999</v>
      </c>
      <c r="H18" s="146">
        <v>0.39027931900000001</v>
      </c>
      <c r="J18" s="126">
        <v>6.189504844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2.3211648239999998</v>
      </c>
      <c r="C19" s="161">
        <v>2.3211648239999998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4.8499999999993548E-3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20683322.635282002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19296775.265248999</v>
      </c>
      <c r="C22" s="147"/>
      <c r="D22" s="148"/>
      <c r="E22" s="147"/>
      <c r="F22" s="147"/>
      <c r="G22" s="147"/>
      <c r="H22" s="147"/>
      <c r="J22" s="105">
        <f>D29</f>
        <v>19269658.915249001</v>
      </c>
      <c r="K22" s="123" t="s">
        <v>42</v>
      </c>
    </row>
    <row r="23" spans="1:14" ht="30.75" customHeight="1" x14ac:dyDescent="0.2">
      <c r="A23" s="162" t="s">
        <v>32</v>
      </c>
      <c r="B23" s="143">
        <v>372637.50393300003</v>
      </c>
      <c r="C23" s="149"/>
      <c r="D23" s="150"/>
      <c r="E23" s="151"/>
      <c r="F23" s="151"/>
      <c r="G23" s="151"/>
      <c r="H23" s="151"/>
      <c r="J23" s="105">
        <f>D34</f>
        <v>1386547.3700329999</v>
      </c>
      <c r="K23" s="123" t="s">
        <v>41</v>
      </c>
    </row>
    <row r="24" spans="1:14" ht="18" customHeight="1" x14ac:dyDescent="0.2">
      <c r="A24" s="176" t="s">
        <v>14</v>
      </c>
      <c r="B24" s="143">
        <v>853694.88760000002</v>
      </c>
      <c r="C24" s="149"/>
      <c r="D24" s="150"/>
      <c r="E24" s="151"/>
      <c r="F24" s="151"/>
      <c r="G24" s="151"/>
      <c r="H24" s="151"/>
      <c r="J24" s="105">
        <v>-27116.35</v>
      </c>
      <c r="K24" s="123" t="s">
        <v>43</v>
      </c>
    </row>
    <row r="25" spans="1:14" ht="18" customHeight="1" x14ac:dyDescent="0.2">
      <c r="A25" s="157" t="s">
        <v>10</v>
      </c>
      <c r="B25" s="143">
        <v>27743.516500000002</v>
      </c>
      <c r="C25" s="149"/>
      <c r="D25" s="150"/>
      <c r="E25" s="151"/>
      <c r="F25" s="151"/>
      <c r="G25" s="151"/>
      <c r="H25" s="151"/>
      <c r="J25" s="108">
        <f>B21-J22-J23+J24</f>
        <v>1.2587406672537327E-9</v>
      </c>
    </row>
    <row r="26" spans="1:14" ht="18" customHeight="1" x14ac:dyDescent="0.2">
      <c r="A26" s="157" t="s">
        <v>12</v>
      </c>
      <c r="B26" s="143">
        <v>132471.462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19269658.91524899</v>
      </c>
      <c r="C29" s="105">
        <f>B22-B29+J24</f>
        <v>8.9421519078314304E-9</v>
      </c>
      <c r="D29" s="138">
        <v>19269658.915249001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372637.50393300003</v>
      </c>
      <c r="C30" s="105">
        <f>B23-B30</f>
        <v>0</v>
      </c>
      <c r="D30" s="138">
        <v>372637.50393300003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853694.88760000048</v>
      </c>
      <c r="C31" s="105">
        <f>B24-B31</f>
        <v>0</v>
      </c>
      <c r="D31" s="138">
        <v>853694.88760000002</v>
      </c>
      <c r="E31" s="105">
        <f>B31-D31</f>
        <v>0</v>
      </c>
    </row>
    <row r="32" spans="1:14" hidden="1" x14ac:dyDescent="0.2">
      <c r="A32" s="188" t="s">
        <v>10</v>
      </c>
      <c r="B32" s="105">
        <v>27743.516499999991</v>
      </c>
      <c r="C32" s="105">
        <f>B25-B32</f>
        <v>0</v>
      </c>
      <c r="D32" s="138">
        <v>27743.516500000002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132471.462</v>
      </c>
      <c r="C33" s="105">
        <f>B26-B33</f>
        <v>0</v>
      </c>
      <c r="D33" s="138">
        <v>132471.462</v>
      </c>
      <c r="E33" s="105">
        <f>B33-D33</f>
        <v>0</v>
      </c>
    </row>
    <row r="34" spans="1:5" hidden="1" x14ac:dyDescent="0.2">
      <c r="B34" s="105">
        <f>SUM(B30:B33)</f>
        <v>1386547.3700330004</v>
      </c>
      <c r="C34" s="105">
        <f>SUM(C29:C33)</f>
        <v>8.9421519078314304E-9</v>
      </c>
      <c r="D34" s="138">
        <f>SUM(D30:D33)</f>
        <v>1386547.3700329999</v>
      </c>
      <c r="E34" s="105">
        <f>SUM(E29:E33)</f>
        <v>0</v>
      </c>
    </row>
    <row r="35" spans="1:5" hidden="1" x14ac:dyDescent="0.2">
      <c r="B35" s="139">
        <f>B34+B29+J24-B22</f>
        <v>1332314.6700329892</v>
      </c>
      <c r="C35" s="105"/>
      <c r="D35" s="138">
        <f>D34+D29</f>
        <v>20656206.285282001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  <row r="43" spans="1:5" hidden="1" x14ac:dyDescent="0.2"/>
    <row r="44" spans="1:5" hidden="1" x14ac:dyDescent="0.2"/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24A2-4083-488F-84EF-017B42E7D013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45444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83176684.660439</v>
      </c>
      <c r="C6" s="166">
        <f t="shared" ref="C6:H6" si="0">C7+C8</f>
        <v>1865531.979387</v>
      </c>
      <c r="D6" s="166">
        <f t="shared" si="0"/>
        <v>10621059.549537998</v>
      </c>
      <c r="E6" s="166">
        <f t="shared" si="0"/>
        <v>3859228.2850359995</v>
      </c>
      <c r="F6" s="166">
        <f t="shared" si="0"/>
        <v>22376300.431166999</v>
      </c>
      <c r="G6" s="166">
        <f t="shared" si="0"/>
        <v>273352.73940299999</v>
      </c>
      <c r="H6" s="174">
        <f t="shared" si="0"/>
        <v>44181211.675907999</v>
      </c>
      <c r="J6" s="153">
        <v>83217637.660438985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81311152.681051999</v>
      </c>
      <c r="C7" s="141">
        <f t="shared" ref="C7:H8" si="2">C10+C13</f>
        <v>0</v>
      </c>
      <c r="D7" s="141">
        <f t="shared" si="2"/>
        <v>10621059.549537998</v>
      </c>
      <c r="E7" s="141">
        <f t="shared" si="2"/>
        <v>3859228.2850359995</v>
      </c>
      <c r="F7" s="141">
        <f t="shared" si="2"/>
        <v>22376300.431166999</v>
      </c>
      <c r="G7" s="141">
        <f t="shared" si="2"/>
        <v>273352.73940299999</v>
      </c>
      <c r="H7" s="141">
        <f t="shared" si="2"/>
        <v>44181211.675907999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1865531.979387</v>
      </c>
      <c r="C8" s="143">
        <f t="shared" si="2"/>
        <v>1865531.979387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38791252.955099992</v>
      </c>
      <c r="C9" s="144">
        <f t="shared" ref="C9:H9" si="3">SUM(C10:C11)</f>
        <v>208968.74</v>
      </c>
      <c r="D9" s="144">
        <f t="shared" si="3"/>
        <v>667747</v>
      </c>
      <c r="E9" s="144">
        <f t="shared" si="3"/>
        <v>110906</v>
      </c>
      <c r="F9" s="144">
        <f t="shared" si="3"/>
        <v>3338149.5995999998</v>
      </c>
      <c r="G9" s="144">
        <f t="shared" si="3"/>
        <v>2920</v>
      </c>
      <c r="H9" s="144">
        <f t="shared" si="3"/>
        <v>34462561.615499996</v>
      </c>
      <c r="L9" s="181" t="s">
        <v>27</v>
      </c>
      <c r="M9" s="110">
        <v>34752</v>
      </c>
      <c r="N9" s="110">
        <v>0</v>
      </c>
      <c r="O9" s="110">
        <v>2202</v>
      </c>
      <c r="P9" s="110">
        <v>3999</v>
      </c>
      <c r="Q9" s="110"/>
      <c r="R9" s="110"/>
      <c r="S9" s="182">
        <v>40953</v>
      </c>
    </row>
    <row r="10" spans="1:19" ht="18" customHeight="1" x14ac:dyDescent="0.2">
      <c r="A10" s="157" t="s">
        <v>29</v>
      </c>
      <c r="B10" s="143">
        <f t="shared" si="1"/>
        <v>38582284.215099998</v>
      </c>
      <c r="C10" s="143">
        <v>0</v>
      </c>
      <c r="D10" s="143">
        <v>667747</v>
      </c>
      <c r="E10" s="143">
        <v>110906</v>
      </c>
      <c r="F10" s="143">
        <v>3338149.5995999998</v>
      </c>
      <c r="G10" s="143">
        <v>2920</v>
      </c>
      <c r="H10" s="143">
        <v>34462561.615499996</v>
      </c>
      <c r="L10" s="181" t="s">
        <v>1</v>
      </c>
      <c r="M10" s="183">
        <v>34752</v>
      </c>
      <c r="N10" s="183">
        <v>0</v>
      </c>
      <c r="O10" s="183">
        <v>2202</v>
      </c>
      <c r="P10" s="183">
        <v>3999</v>
      </c>
      <c r="Q10" s="183">
        <v>0</v>
      </c>
      <c r="R10" s="183">
        <v>0</v>
      </c>
      <c r="S10" s="183">
        <v>40953</v>
      </c>
    </row>
    <row r="11" spans="1:19" ht="18" customHeight="1" x14ac:dyDescent="0.2">
      <c r="A11" s="157" t="s">
        <v>48</v>
      </c>
      <c r="B11" s="143">
        <f t="shared" si="1"/>
        <v>208968.74</v>
      </c>
      <c r="C11" s="143">
        <v>208968.74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44385431.705339</v>
      </c>
      <c r="C12" s="144">
        <f t="shared" ref="C12:G12" si="4">SUM(C13:C14)</f>
        <v>1656563.239387</v>
      </c>
      <c r="D12" s="144">
        <f t="shared" si="4"/>
        <v>9953312.5495379977</v>
      </c>
      <c r="E12" s="144">
        <f t="shared" si="4"/>
        <v>3748322.2850359995</v>
      </c>
      <c r="F12" s="144">
        <f t="shared" si="4"/>
        <v>19038150.831567001</v>
      </c>
      <c r="G12" s="144">
        <f t="shared" si="4"/>
        <v>270432.73940299999</v>
      </c>
      <c r="H12" s="144">
        <f>SUM(H13:H14)</f>
        <v>9718650.0604079999</v>
      </c>
      <c r="L12" s="185" t="s">
        <v>25</v>
      </c>
      <c r="M12" s="186">
        <v>34752</v>
      </c>
      <c r="N12" s="186">
        <v>0</v>
      </c>
      <c r="O12" s="186">
        <v>2202</v>
      </c>
      <c r="P12" s="186">
        <v>3999</v>
      </c>
      <c r="Q12" s="186">
        <v>0</v>
      </c>
      <c r="R12" s="186">
        <v>0</v>
      </c>
      <c r="S12" s="187">
        <v>40953</v>
      </c>
    </row>
    <row r="13" spans="1:19" ht="18" customHeight="1" x14ac:dyDescent="0.2">
      <c r="A13" s="157" t="s">
        <v>29</v>
      </c>
      <c r="B13" s="143">
        <f t="shared" si="1"/>
        <v>42728868.465951994</v>
      </c>
      <c r="C13" s="143">
        <v>0</v>
      </c>
      <c r="D13" s="143">
        <v>9953312.5495379977</v>
      </c>
      <c r="E13" s="143">
        <v>3748322.2850359995</v>
      </c>
      <c r="F13" s="143">
        <v>19038150.831567001</v>
      </c>
      <c r="G13" s="143">
        <v>270432.73940299999</v>
      </c>
      <c r="H13" s="143">
        <f>9759603.060408-40953</f>
        <v>9718650.0604079999</v>
      </c>
      <c r="I13" s="117"/>
    </row>
    <row r="14" spans="1:19" ht="18" customHeight="1" x14ac:dyDescent="0.2">
      <c r="A14" s="157" t="s">
        <v>48</v>
      </c>
      <c r="B14" s="143">
        <f t="shared" si="1"/>
        <v>1656563.239387</v>
      </c>
      <c r="C14" s="143">
        <v>1656563.239387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2706.3870000000002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8.5773640320000002</v>
      </c>
      <c r="C17" s="172">
        <f t="shared" ref="C17:H17" si="5">SUM(C18:C19)</f>
        <v>2.4677959939999998</v>
      </c>
      <c r="D17" s="172">
        <f t="shared" si="5"/>
        <v>0.20839629900000001</v>
      </c>
      <c r="E17" s="172">
        <f t="shared" si="5"/>
        <v>2.5912520000000001E-3</v>
      </c>
      <c r="F17" s="172">
        <f t="shared" si="5"/>
        <v>5.332439377</v>
      </c>
      <c r="G17" s="172">
        <f t="shared" si="5"/>
        <v>0.162126135</v>
      </c>
      <c r="H17" s="173">
        <f t="shared" si="5"/>
        <v>0.404014975</v>
      </c>
      <c r="J17" s="126">
        <v>2.4677959939999998</v>
      </c>
      <c r="K17" s="127" t="s">
        <v>57</v>
      </c>
      <c r="L17" s="128">
        <v>8.5724692949999994</v>
      </c>
      <c r="M17" s="128">
        <f>B17-L17</f>
        <v>4.8947370000007595E-3</v>
      </c>
    </row>
    <row r="18" spans="1:14" ht="18" customHeight="1" x14ac:dyDescent="0.2">
      <c r="A18" s="160" t="s">
        <v>29</v>
      </c>
      <c r="B18" s="146">
        <f>SUM(C18:H18)</f>
        <v>6.1095680379999999</v>
      </c>
      <c r="C18" s="146">
        <v>0</v>
      </c>
      <c r="D18" s="146">
        <v>0.20839629900000001</v>
      </c>
      <c r="E18" s="146">
        <v>2.5912520000000001E-3</v>
      </c>
      <c r="F18" s="146">
        <v>5.332439377</v>
      </c>
      <c r="G18" s="146">
        <v>0.162126135</v>
      </c>
      <c r="H18" s="146">
        <v>0.404014975</v>
      </c>
      <c r="J18" s="126">
        <v>6.1046733010000001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2.4677959939999998</v>
      </c>
      <c r="C19" s="161">
        <v>2.4677959939999998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4.8947370000007595E-3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15350434.406157002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13987507.288852001</v>
      </c>
      <c r="C22" s="147"/>
      <c r="D22" s="148"/>
      <c r="E22" s="147"/>
      <c r="F22" s="147"/>
      <c r="G22" s="147"/>
      <c r="H22" s="147"/>
      <c r="J22" s="105">
        <f>D29</f>
        <v>13964852.118852001</v>
      </c>
      <c r="K22" s="123" t="s">
        <v>42</v>
      </c>
    </row>
    <row r="23" spans="1:14" ht="30.75" customHeight="1" x14ac:dyDescent="0.2">
      <c r="A23" s="162" t="s">
        <v>32</v>
      </c>
      <c r="B23" s="143">
        <v>348842.89090499998</v>
      </c>
      <c r="C23" s="149"/>
      <c r="D23" s="150"/>
      <c r="E23" s="151"/>
      <c r="F23" s="151"/>
      <c r="G23" s="151"/>
      <c r="H23" s="151"/>
      <c r="J23" s="105">
        <f>D34</f>
        <v>1362927.1173049998</v>
      </c>
      <c r="K23" s="123" t="s">
        <v>41</v>
      </c>
    </row>
    <row r="24" spans="1:14" ht="18" customHeight="1" x14ac:dyDescent="0.2">
      <c r="A24" s="176" t="s">
        <v>14</v>
      </c>
      <c r="B24" s="143">
        <v>778175.33089999994</v>
      </c>
      <c r="C24" s="149"/>
      <c r="D24" s="150"/>
      <c r="E24" s="151"/>
      <c r="F24" s="151"/>
      <c r="G24" s="151"/>
      <c r="H24" s="151"/>
      <c r="J24" s="105">
        <v>22655.17</v>
      </c>
      <c r="K24" s="123" t="s">
        <v>43</v>
      </c>
    </row>
    <row r="25" spans="1:14" ht="18" customHeight="1" x14ac:dyDescent="0.2">
      <c r="A25" s="157" t="s">
        <v>10</v>
      </c>
      <c r="B25" s="143">
        <v>86376.961500000005</v>
      </c>
      <c r="C25" s="149"/>
      <c r="D25" s="150"/>
      <c r="E25" s="151"/>
      <c r="F25" s="151"/>
      <c r="G25" s="151"/>
      <c r="H25" s="151"/>
      <c r="J25" s="108">
        <f>B21-J22-J23-J24</f>
        <v>1.3242242857813835E-9</v>
      </c>
    </row>
    <row r="26" spans="1:14" ht="18" customHeight="1" x14ac:dyDescent="0.2">
      <c r="A26" s="157" t="s">
        <v>12</v>
      </c>
      <c r="B26" s="143">
        <v>149531.93400000001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13964852.118852016</v>
      </c>
      <c r="C29" s="105">
        <f>B22-B29-J24</f>
        <v>-1.4973920769989491E-8</v>
      </c>
      <c r="D29" s="138">
        <v>13964852.118852001</v>
      </c>
      <c r="E29" s="105">
        <f>B29-D29</f>
        <v>1.4901161193847656E-8</v>
      </c>
      <c r="F29" s="133"/>
    </row>
    <row r="30" spans="1:14" hidden="1" x14ac:dyDescent="0.2">
      <c r="A30" s="188" t="s">
        <v>32</v>
      </c>
      <c r="B30" s="105">
        <v>348842.89090500004</v>
      </c>
      <c r="C30" s="105">
        <f>B23-B30</f>
        <v>0</v>
      </c>
      <c r="D30" s="138">
        <v>348842.89090499998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778175.33089999994</v>
      </c>
      <c r="C31" s="105">
        <f>B24-B31</f>
        <v>0</v>
      </c>
      <c r="D31" s="138">
        <v>778175.33089999994</v>
      </c>
      <c r="E31" s="105">
        <f>B31-D31</f>
        <v>0</v>
      </c>
    </row>
    <row r="32" spans="1:14" hidden="1" x14ac:dyDescent="0.2">
      <c r="A32" s="188" t="s">
        <v>10</v>
      </c>
      <c r="B32" s="105">
        <v>86376.96149999999</v>
      </c>
      <c r="C32" s="105">
        <f>B25-B32</f>
        <v>0</v>
      </c>
      <c r="D32" s="138">
        <v>86376.961500000005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149531.93400000001</v>
      </c>
      <c r="C33" s="105">
        <f>B26-B33</f>
        <v>0</v>
      </c>
      <c r="D33" s="138">
        <v>149531.93400000001</v>
      </c>
      <c r="E33" s="105">
        <f>B33-D33</f>
        <v>0</v>
      </c>
    </row>
    <row r="34" spans="1:5" hidden="1" x14ac:dyDescent="0.2">
      <c r="B34" s="105">
        <f>SUM(B30:B33)</f>
        <v>1362927.1173049998</v>
      </c>
      <c r="C34" s="105">
        <f>SUM(C29:C33)</f>
        <v>-1.4973920769989491E-8</v>
      </c>
      <c r="D34" s="138">
        <f>SUM(D30:D33)</f>
        <v>1362927.1173049998</v>
      </c>
      <c r="E34" s="105">
        <f>SUM(E29:E33)</f>
        <v>1.4901161193847656E-8</v>
      </c>
    </row>
    <row r="35" spans="1:5" hidden="1" x14ac:dyDescent="0.2">
      <c r="B35" s="139">
        <f>B34+B29+J24-B22</f>
        <v>1362927.1173050143</v>
      </c>
      <c r="C35" s="105"/>
      <c r="D35" s="138">
        <f>D34+D29</f>
        <v>15327779.236157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B0B7-FC9D-49C0-BBF9-7DDD420254C0}">
  <sheetPr>
    <tabColor rgb="FFFFDD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45474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 t="shared" ref="B6:H6" si="0">B7+B8</f>
        <v>85762589.871911004</v>
      </c>
      <c r="C6" s="166">
        <f t="shared" si="0"/>
        <v>1883304.4786759999</v>
      </c>
      <c r="D6" s="166">
        <f t="shared" si="0"/>
        <v>12113781.463887</v>
      </c>
      <c r="E6" s="166">
        <f t="shared" si="0"/>
        <v>3881286.6711050002</v>
      </c>
      <c r="F6" s="166">
        <f t="shared" si="0"/>
        <v>23680465.435479</v>
      </c>
      <c r="G6" s="166">
        <f t="shared" si="0"/>
        <v>312443.61722900002</v>
      </c>
      <c r="H6" s="174">
        <f t="shared" si="0"/>
        <v>43891308.205534995</v>
      </c>
      <c r="J6" s="153">
        <v>85821672.871910989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83879285.393234998</v>
      </c>
      <c r="C7" s="141">
        <f t="shared" ref="C7:H8" si="2">C10+C13</f>
        <v>0</v>
      </c>
      <c r="D7" s="141">
        <f t="shared" si="2"/>
        <v>12113781.463887</v>
      </c>
      <c r="E7" s="141">
        <f t="shared" si="2"/>
        <v>3881286.6711050002</v>
      </c>
      <c r="F7" s="141">
        <f t="shared" si="2"/>
        <v>23680465.435479</v>
      </c>
      <c r="G7" s="141">
        <f t="shared" si="2"/>
        <v>312443.61722900002</v>
      </c>
      <c r="H7" s="141">
        <f t="shared" si="2"/>
        <v>43891308.205534995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1883304.4786759999</v>
      </c>
      <c r="C8" s="143">
        <f t="shared" si="2"/>
        <v>1883304.4786759999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37398085.124799989</v>
      </c>
      <c r="C9" s="144">
        <f t="shared" ref="C9:H9" si="3">SUM(C10:C11)</f>
        <v>0</v>
      </c>
      <c r="D9" s="144">
        <f t="shared" si="3"/>
        <v>985115.55999999994</v>
      </c>
      <c r="E9" s="144">
        <f t="shared" si="3"/>
        <v>107956</v>
      </c>
      <c r="F9" s="144">
        <f t="shared" si="3"/>
        <v>3437646.8156000013</v>
      </c>
      <c r="G9" s="144">
        <f t="shared" si="3"/>
        <v>3440</v>
      </c>
      <c r="H9" s="144">
        <f t="shared" si="3"/>
        <v>32863926.74919999</v>
      </c>
      <c r="L9" s="181" t="s">
        <v>27</v>
      </c>
      <c r="M9" s="110">
        <v>50800</v>
      </c>
      <c r="N9" s="110">
        <v>0</v>
      </c>
      <c r="O9" s="110">
        <v>2226</v>
      </c>
      <c r="P9" s="110">
        <v>6057</v>
      </c>
      <c r="Q9" s="110"/>
      <c r="R9" s="110"/>
      <c r="S9" s="182">
        <v>59083</v>
      </c>
    </row>
    <row r="10" spans="1:19" ht="18" customHeight="1" x14ac:dyDescent="0.2">
      <c r="A10" s="157" t="s">
        <v>29</v>
      </c>
      <c r="B10" s="143">
        <f t="shared" si="1"/>
        <v>37398085.124799989</v>
      </c>
      <c r="C10" s="143">
        <v>0</v>
      </c>
      <c r="D10" s="143">
        <v>985115.55999999994</v>
      </c>
      <c r="E10" s="143">
        <v>107956</v>
      </c>
      <c r="F10" s="143">
        <v>3437646.8156000013</v>
      </c>
      <c r="G10" s="143">
        <v>3440</v>
      </c>
      <c r="H10" s="143">
        <v>32863926.74919999</v>
      </c>
      <c r="L10" s="181" t="s">
        <v>1</v>
      </c>
      <c r="M10" s="183">
        <v>50800</v>
      </c>
      <c r="N10" s="183">
        <v>0</v>
      </c>
      <c r="O10" s="183">
        <v>2226</v>
      </c>
      <c r="P10" s="183">
        <v>6057</v>
      </c>
      <c r="Q10" s="183">
        <v>0</v>
      </c>
      <c r="R10" s="183">
        <v>0</v>
      </c>
      <c r="S10" s="183">
        <v>59083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48364504.747111</v>
      </c>
      <c r="C12" s="144">
        <f t="shared" ref="C12:H12" si="4">SUM(C13:C14)</f>
        <v>1883304.4786759999</v>
      </c>
      <c r="D12" s="144">
        <f t="shared" si="4"/>
        <v>11128665.903887</v>
      </c>
      <c r="E12" s="144">
        <f t="shared" si="4"/>
        <v>3773330.6711050002</v>
      </c>
      <c r="F12" s="144">
        <f t="shared" si="4"/>
        <v>20242818.619879</v>
      </c>
      <c r="G12" s="144">
        <f t="shared" si="4"/>
        <v>309003.61722900002</v>
      </c>
      <c r="H12" s="144">
        <f t="shared" si="4"/>
        <v>11027381.456335001</v>
      </c>
      <c r="L12" s="185" t="s">
        <v>25</v>
      </c>
      <c r="M12" s="186">
        <v>50800</v>
      </c>
      <c r="N12" s="186">
        <v>0</v>
      </c>
      <c r="O12" s="186">
        <v>2226</v>
      </c>
      <c r="P12" s="186">
        <v>6057</v>
      </c>
      <c r="Q12" s="186">
        <v>0</v>
      </c>
      <c r="R12" s="186">
        <v>0</v>
      </c>
      <c r="S12" s="187">
        <v>59083</v>
      </c>
    </row>
    <row r="13" spans="1:19" ht="18" customHeight="1" x14ac:dyDescent="0.2">
      <c r="A13" s="157" t="s">
        <v>29</v>
      </c>
      <c r="B13" s="143">
        <f t="shared" si="1"/>
        <v>46481200.268435001</v>
      </c>
      <c r="C13" s="143">
        <v>0</v>
      </c>
      <c r="D13" s="143">
        <v>11128665.903887</v>
      </c>
      <c r="E13" s="143">
        <v>3773330.6711050002</v>
      </c>
      <c r="F13" s="143">
        <v>20242818.619879</v>
      </c>
      <c r="G13" s="143">
        <v>309003.61722900002</v>
      </c>
      <c r="H13" s="143">
        <f>11086464.456335-59083</f>
        <v>11027381.456335001</v>
      </c>
      <c r="I13" s="117"/>
    </row>
    <row r="14" spans="1:19" ht="18" customHeight="1" x14ac:dyDescent="0.2">
      <c r="A14" s="157" t="s">
        <v>48</v>
      </c>
      <c r="B14" s="143">
        <f t="shared" si="1"/>
        <v>1883304.4786759999</v>
      </c>
      <c r="C14" s="143">
        <v>1883304.4786759999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2528.4849999999997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8.6732437200000003</v>
      </c>
      <c r="C17" s="172">
        <f t="shared" ref="C17:H17" si="5">SUM(C18:C19)</f>
        <v>2.4846064559999999</v>
      </c>
      <c r="D17" s="172">
        <f t="shared" si="5"/>
        <v>0.21062318599999999</v>
      </c>
      <c r="E17" s="172">
        <f t="shared" si="5"/>
        <v>2.8158689999999999E-3</v>
      </c>
      <c r="F17" s="172">
        <f t="shared" si="5"/>
        <v>5.1864921959999997</v>
      </c>
      <c r="G17" s="172">
        <f t="shared" si="5"/>
        <v>0.280803727</v>
      </c>
      <c r="H17" s="173">
        <f t="shared" si="5"/>
        <v>0.50790228599999998</v>
      </c>
      <c r="J17" s="126">
        <v>2.4846064559999999</v>
      </c>
      <c r="K17" s="127" t="s">
        <v>57</v>
      </c>
      <c r="L17" s="128">
        <v>8.6689393720000005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6.1886372640000005</v>
      </c>
      <c r="C18" s="146">
        <v>0</v>
      </c>
      <c r="D18" s="146">
        <v>0.21062318599999999</v>
      </c>
      <c r="E18" s="146">
        <v>2.8158689999999999E-3</v>
      </c>
      <c r="F18" s="146">
        <v>5.1864921959999997</v>
      </c>
      <c r="G18" s="146">
        <v>0.280803727</v>
      </c>
      <c r="H18" s="146">
        <v>0.50790228599999998</v>
      </c>
      <c r="J18" s="126">
        <v>6.1843329159999998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2.4846064559999999</v>
      </c>
      <c r="C19" s="161">
        <v>2.4846064559999999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4.3043480000006795E-3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21520064.268440001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20158487.934464</v>
      </c>
      <c r="C22" s="147"/>
      <c r="D22" s="148"/>
      <c r="E22" s="147"/>
      <c r="F22" s="147"/>
      <c r="G22" s="147"/>
      <c r="H22" s="147"/>
      <c r="J22" s="105">
        <f>D29</f>
        <v>20196778.534464002</v>
      </c>
      <c r="K22" s="123" t="s">
        <v>42</v>
      </c>
    </row>
    <row r="23" spans="1:14" ht="30.75" customHeight="1" x14ac:dyDescent="0.2">
      <c r="A23" s="162" t="s">
        <v>32</v>
      </c>
      <c r="B23" s="143">
        <v>362882.78267599997</v>
      </c>
      <c r="C23" s="149"/>
      <c r="D23" s="150"/>
      <c r="E23" s="151"/>
      <c r="F23" s="151"/>
      <c r="G23" s="151"/>
      <c r="H23" s="151"/>
      <c r="J23" s="105">
        <f>D34</f>
        <v>1361576.3339759998</v>
      </c>
      <c r="K23" s="123" t="s">
        <v>41</v>
      </c>
    </row>
    <row r="24" spans="1:14" ht="18" customHeight="1" x14ac:dyDescent="0.2">
      <c r="A24" s="176" t="s">
        <v>14</v>
      </c>
      <c r="B24" s="143">
        <v>714093.50179999997</v>
      </c>
      <c r="C24" s="149"/>
      <c r="D24" s="150"/>
      <c r="E24" s="151"/>
      <c r="F24" s="151"/>
      <c r="G24" s="151"/>
      <c r="H24" s="151"/>
      <c r="J24" s="105">
        <v>-38290.599999999984</v>
      </c>
      <c r="K24" s="123" t="s">
        <v>43</v>
      </c>
    </row>
    <row r="25" spans="1:14" ht="18" customHeight="1" x14ac:dyDescent="0.2">
      <c r="A25" s="157" t="s">
        <v>10</v>
      </c>
      <c r="B25" s="143">
        <v>71420.185500000007</v>
      </c>
      <c r="C25" s="149"/>
      <c r="D25" s="150"/>
      <c r="E25" s="151"/>
      <c r="F25" s="151"/>
      <c r="G25" s="151"/>
      <c r="H25" s="151"/>
      <c r="J25" s="108">
        <f>B21-J22-J23-J24</f>
        <v>-8.0763129517436028E-10</v>
      </c>
    </row>
    <row r="26" spans="1:14" ht="18" customHeight="1" x14ac:dyDescent="0.2">
      <c r="A26" s="157" t="s">
        <v>12</v>
      </c>
      <c r="B26" s="143">
        <v>213179.864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20196778.534464002</v>
      </c>
      <c r="C29" s="105">
        <f>B22-B29-J24</f>
        <v>-1.5061232261359692E-9</v>
      </c>
      <c r="D29" s="138">
        <v>20196778.534464002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362882.78267600003</v>
      </c>
      <c r="C30" s="105">
        <f>B23-B30</f>
        <v>0</v>
      </c>
      <c r="D30" s="138">
        <v>362882.78267599997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714093.50180000009</v>
      </c>
      <c r="C31" s="105">
        <f>B24-B31</f>
        <v>0</v>
      </c>
      <c r="D31" s="138">
        <v>714093.50179999997</v>
      </c>
      <c r="E31" s="105">
        <f>B31-D31</f>
        <v>0</v>
      </c>
    </row>
    <row r="32" spans="1:14" hidden="1" x14ac:dyDescent="0.2">
      <c r="A32" s="188" t="s">
        <v>10</v>
      </c>
      <c r="B32" s="105">
        <v>71420.185499999992</v>
      </c>
      <c r="C32" s="105">
        <f>B25-B32</f>
        <v>0</v>
      </c>
      <c r="D32" s="138">
        <v>71420.185500000007</v>
      </c>
      <c r="E32" s="105">
        <f>B32-D32</f>
        <v>0</v>
      </c>
    </row>
    <row r="33" spans="1:5" hidden="1" x14ac:dyDescent="0.2">
      <c r="A33" s="188" t="s">
        <v>12</v>
      </c>
      <c r="B33" s="105">
        <v>213179.86399999994</v>
      </c>
      <c r="C33" s="105">
        <f>B26-B33</f>
        <v>0</v>
      </c>
      <c r="D33" s="138">
        <v>213179.864</v>
      </c>
      <c r="E33" s="105">
        <f>B33-D33</f>
        <v>0</v>
      </c>
    </row>
    <row r="34" spans="1:5" hidden="1" x14ac:dyDescent="0.2">
      <c r="B34" s="105">
        <f>SUM(B30:B33)</f>
        <v>1361576.3339760001</v>
      </c>
      <c r="C34" s="105">
        <f>SUM(C29:C33)</f>
        <v>-1.5061232261359692E-9</v>
      </c>
      <c r="D34" s="138">
        <f>SUM(D30:D33)</f>
        <v>1361576.3339759998</v>
      </c>
      <c r="E34" s="105">
        <f>SUM(E29:E33)</f>
        <v>0</v>
      </c>
    </row>
    <row r="35" spans="1:5" hidden="1" x14ac:dyDescent="0.2">
      <c r="B35" s="139">
        <f>B34+B29+J24-B22</f>
        <v>1361576.3339760005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D9C-D418-496B-9C0D-6B0C03E9637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45505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86467821.922613993</v>
      </c>
      <c r="C6" s="166">
        <f t="shared" ref="C6:H6" si="0">C7+C8</f>
        <v>1777082.3022970001</v>
      </c>
      <c r="D6" s="166">
        <f t="shared" si="0"/>
        <v>11864233.543829</v>
      </c>
      <c r="E6" s="166">
        <f t="shared" si="0"/>
        <v>4354195.3384530004</v>
      </c>
      <c r="F6" s="166">
        <f t="shared" si="0"/>
        <v>24303047.901064999</v>
      </c>
      <c r="G6" s="166">
        <f t="shared" si="0"/>
        <v>344538.93906100001</v>
      </c>
      <c r="H6" s="174">
        <f t="shared" si="0"/>
        <v>43824723.897909001</v>
      </c>
      <c r="J6" s="153">
        <v>86523918.922614008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84690739.620316997</v>
      </c>
      <c r="C7" s="141">
        <f t="shared" ref="C7:H8" si="2">C10+C13</f>
        <v>0</v>
      </c>
      <c r="D7" s="141">
        <f t="shared" si="2"/>
        <v>11864233.543829</v>
      </c>
      <c r="E7" s="141">
        <f t="shared" si="2"/>
        <v>4354195.3384530004</v>
      </c>
      <c r="F7" s="141">
        <f t="shared" si="2"/>
        <v>24303047.901064999</v>
      </c>
      <c r="G7" s="141">
        <f t="shared" si="2"/>
        <v>344538.93906100001</v>
      </c>
      <c r="H7" s="141">
        <f t="shared" si="2"/>
        <v>43824723.897909001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1777082.3022970001</v>
      </c>
      <c r="C8" s="143">
        <f t="shared" si="2"/>
        <v>1777082.3022970001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37552909.702799998</v>
      </c>
      <c r="C9" s="144">
        <f t="shared" ref="C9:H9" si="3">SUM(C10:C11)</f>
        <v>0</v>
      </c>
      <c r="D9" s="144">
        <f t="shared" si="3"/>
        <v>827387.44299999997</v>
      </c>
      <c r="E9" s="144">
        <f t="shared" si="3"/>
        <v>105093</v>
      </c>
      <c r="F9" s="144">
        <f t="shared" si="3"/>
        <v>3150090.0656000017</v>
      </c>
      <c r="G9" s="144">
        <f t="shared" si="3"/>
        <v>3200</v>
      </c>
      <c r="H9" s="144">
        <f t="shared" si="3"/>
        <v>33467139.194199998</v>
      </c>
      <c r="L9" s="181" t="s">
        <v>27</v>
      </c>
      <c r="M9" s="110">
        <v>48880</v>
      </c>
      <c r="N9" s="110">
        <v>0</v>
      </c>
      <c r="O9" s="110">
        <v>2424</v>
      </c>
      <c r="P9" s="110">
        <v>4793</v>
      </c>
      <c r="Q9" s="110"/>
      <c r="R9" s="110"/>
      <c r="S9" s="182">
        <v>56097</v>
      </c>
    </row>
    <row r="10" spans="1:19" ht="18" customHeight="1" x14ac:dyDescent="0.2">
      <c r="A10" s="157" t="s">
        <v>29</v>
      </c>
      <c r="B10" s="143">
        <f t="shared" si="1"/>
        <v>37552909.702799998</v>
      </c>
      <c r="C10" s="143">
        <v>0</v>
      </c>
      <c r="D10" s="143">
        <v>827387.44299999997</v>
      </c>
      <c r="E10" s="143">
        <v>105093</v>
      </c>
      <c r="F10" s="143">
        <v>3150090.0656000017</v>
      </c>
      <c r="G10" s="143">
        <v>3200</v>
      </c>
      <c r="H10" s="143">
        <v>33467139.194199998</v>
      </c>
      <c r="L10" s="181" t="s">
        <v>1</v>
      </c>
      <c r="M10" s="183">
        <v>48880</v>
      </c>
      <c r="N10" s="183">
        <v>0</v>
      </c>
      <c r="O10" s="183">
        <v>2424</v>
      </c>
      <c r="P10" s="183">
        <v>4793</v>
      </c>
      <c r="Q10" s="183">
        <v>0</v>
      </c>
      <c r="R10" s="183">
        <v>0</v>
      </c>
      <c r="S10" s="183">
        <v>56097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48914912.219813995</v>
      </c>
      <c r="C12" s="144">
        <f t="shared" ref="C12:G12" si="4">SUM(C13:C14)</f>
        <v>1777082.3022970001</v>
      </c>
      <c r="D12" s="144">
        <f t="shared" si="4"/>
        <v>11036846.100829</v>
      </c>
      <c r="E12" s="144">
        <f t="shared" si="4"/>
        <v>4249102.3384530004</v>
      </c>
      <c r="F12" s="144">
        <f t="shared" si="4"/>
        <v>21152957.835464999</v>
      </c>
      <c r="G12" s="144">
        <f t="shared" si="4"/>
        <v>341338.93906100001</v>
      </c>
      <c r="H12" s="144">
        <f>SUM(H13:H14)</f>
        <v>10357584.703709001</v>
      </c>
      <c r="L12" s="185" t="s">
        <v>25</v>
      </c>
      <c r="M12" s="186">
        <v>48880</v>
      </c>
      <c r="N12" s="186">
        <v>0</v>
      </c>
      <c r="O12" s="186">
        <v>2424</v>
      </c>
      <c r="P12" s="186">
        <v>4793</v>
      </c>
      <c r="Q12" s="186">
        <v>0</v>
      </c>
      <c r="R12" s="186">
        <v>0</v>
      </c>
      <c r="S12" s="187">
        <v>56097</v>
      </c>
    </row>
    <row r="13" spans="1:19" ht="18" customHeight="1" x14ac:dyDescent="0.2">
      <c r="A13" s="157" t="s">
        <v>29</v>
      </c>
      <c r="B13" s="143">
        <f t="shared" si="1"/>
        <v>47137829.917516999</v>
      </c>
      <c r="C13" s="143">
        <v>0</v>
      </c>
      <c r="D13" s="143">
        <v>11036846.100829</v>
      </c>
      <c r="E13" s="143">
        <v>4249102.3384530004</v>
      </c>
      <c r="F13" s="143">
        <v>21152957.835464999</v>
      </c>
      <c r="G13" s="143">
        <v>341338.93906100001</v>
      </c>
      <c r="H13" s="143">
        <f>10413681.703709-56097</f>
        <v>10357584.703709001</v>
      </c>
      <c r="I13" s="117"/>
    </row>
    <row r="14" spans="1:19" ht="18" customHeight="1" x14ac:dyDescent="0.2">
      <c r="A14" s="157" t="s">
        <v>48</v>
      </c>
      <c r="B14" s="143">
        <f t="shared" si="1"/>
        <v>1777082.3022970001</v>
      </c>
      <c r="C14" s="143">
        <v>1777082.3022970001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4216.0410000000002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9.0288973680000009</v>
      </c>
      <c r="C17" s="172">
        <f t="shared" ref="C17:H17" si="5">SUM(C18:C19)</f>
        <v>2.257757131</v>
      </c>
      <c r="D17" s="172">
        <f t="shared" si="5"/>
        <v>0.20889192300000001</v>
      </c>
      <c r="E17" s="172">
        <f t="shared" si="5"/>
        <v>2.9243279999999999E-3</v>
      </c>
      <c r="F17" s="172">
        <f t="shared" si="5"/>
        <v>5.7115426630000004</v>
      </c>
      <c r="G17" s="172">
        <f t="shared" si="5"/>
        <v>0.42644327700000001</v>
      </c>
      <c r="H17" s="173">
        <f t="shared" si="5"/>
        <v>0.42133804600000002</v>
      </c>
      <c r="J17" s="126">
        <v>2.257757131</v>
      </c>
      <c r="K17" s="127" t="s">
        <v>57</v>
      </c>
      <c r="L17" s="128">
        <v>9.0235337320000006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6.771140237</v>
      </c>
      <c r="C18" s="146">
        <v>0</v>
      </c>
      <c r="D18" s="146">
        <v>0.20889192300000001</v>
      </c>
      <c r="E18" s="146">
        <v>2.9243279999999999E-3</v>
      </c>
      <c r="F18" s="146">
        <v>5.7115426630000004</v>
      </c>
      <c r="G18" s="146">
        <v>0.42644327700000001</v>
      </c>
      <c r="H18" s="146">
        <v>0.42133804600000002</v>
      </c>
      <c r="J18" s="126">
        <v>6.7657766010000007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2.257757131</v>
      </c>
      <c r="C19" s="161">
        <v>2.257757131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5.363636000000227E-3</v>
      </c>
      <c r="K19" s="123" t="s">
        <v>58</v>
      </c>
      <c r="L19" s="130">
        <v>5.3636359999999998E-3</v>
      </c>
      <c r="M19" s="128">
        <f>J19-L19</f>
        <v>2.2724877535296173E-16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18306159.614853997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17390570.781482998</v>
      </c>
      <c r="C22" s="147"/>
      <c r="D22" s="148"/>
      <c r="E22" s="147"/>
      <c r="F22" s="147"/>
      <c r="G22" s="147"/>
      <c r="H22" s="147"/>
      <c r="J22" s="105">
        <f>D29</f>
        <v>17373967.281482998</v>
      </c>
      <c r="K22" s="123" t="s">
        <v>42</v>
      </c>
    </row>
    <row r="23" spans="1:14" ht="30.75" customHeight="1" x14ac:dyDescent="0.2">
      <c r="A23" s="162" t="s">
        <v>32</v>
      </c>
      <c r="B23" s="143">
        <v>364345.77077399998</v>
      </c>
      <c r="C23" s="149"/>
      <c r="D23" s="150"/>
      <c r="E23" s="151"/>
      <c r="F23" s="151"/>
      <c r="G23" s="151"/>
      <c r="H23" s="151"/>
      <c r="J23" s="105">
        <f>D34</f>
        <v>915588.8333709999</v>
      </c>
      <c r="K23" s="123" t="s">
        <v>41</v>
      </c>
    </row>
    <row r="24" spans="1:14" ht="18" customHeight="1" x14ac:dyDescent="0.2">
      <c r="A24" s="176" t="s">
        <v>14</v>
      </c>
      <c r="B24" s="143">
        <v>417366.055597</v>
      </c>
      <c r="C24" s="149"/>
      <c r="D24" s="150"/>
      <c r="E24" s="151"/>
      <c r="F24" s="151"/>
      <c r="G24" s="151"/>
      <c r="H24" s="151"/>
      <c r="J24" s="105">
        <v>16603.5</v>
      </c>
      <c r="K24" s="123" t="s">
        <v>43</v>
      </c>
    </row>
    <row r="25" spans="1:14" ht="18" customHeight="1" x14ac:dyDescent="0.2">
      <c r="A25" s="157" t="s">
        <v>10</v>
      </c>
      <c r="B25" s="143">
        <v>79601.116999999998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54275.89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17373967.281483024</v>
      </c>
      <c r="C29" s="105">
        <f>B22-B29-J24</f>
        <v>-2.6077032089233398E-8</v>
      </c>
      <c r="D29" s="138">
        <v>17373967.281482998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364345.77077400003</v>
      </c>
      <c r="C30" s="105">
        <f>B23-B30</f>
        <v>0</v>
      </c>
      <c r="D30" s="138">
        <v>364345.77077399998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417366.05559699988</v>
      </c>
      <c r="C31" s="105">
        <f>B24-B31</f>
        <v>0</v>
      </c>
      <c r="D31" s="138">
        <v>417366.055597</v>
      </c>
      <c r="E31" s="105">
        <f>B31-D31</f>
        <v>0</v>
      </c>
    </row>
    <row r="32" spans="1:14" hidden="1" x14ac:dyDescent="0.2">
      <c r="A32" s="188" t="s">
        <v>10</v>
      </c>
      <c r="B32" s="105">
        <v>79601.116999999998</v>
      </c>
      <c r="C32" s="105">
        <f>B25-B32</f>
        <v>0</v>
      </c>
      <c r="D32" s="138">
        <v>79601.116999999998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54275.89</v>
      </c>
      <c r="C33" s="105">
        <f>B26-B33</f>
        <v>0</v>
      </c>
      <c r="D33" s="138">
        <v>54275.89</v>
      </c>
      <c r="E33" s="105">
        <f>B33-D33</f>
        <v>0</v>
      </c>
    </row>
    <row r="34" spans="1:5" hidden="1" x14ac:dyDescent="0.2">
      <c r="B34" s="105">
        <f>SUM(B30:B33)</f>
        <v>915588.8333709999</v>
      </c>
      <c r="C34" s="105">
        <f>SUM(C29:C33)</f>
        <v>-2.6077032089233398E-8</v>
      </c>
      <c r="D34" s="138">
        <f>SUM(D30:D33)</f>
        <v>915588.8333709999</v>
      </c>
      <c r="E34" s="105">
        <f>SUM(E29:E33)</f>
        <v>0</v>
      </c>
    </row>
    <row r="35" spans="1:5" hidden="1" x14ac:dyDescent="0.2">
      <c r="B35" s="139">
        <f>B34+B29+J24-B22</f>
        <v>915588.83337102458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8AE8-5C79-4D78-9E6D-A24788FEC67E}">
  <sheetPr>
    <tabColor rgb="FFFFDD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45536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85610551.130272001</v>
      </c>
      <c r="C6" s="166">
        <f t="shared" ref="C6:H6" si="0">C7+C8</f>
        <v>1697715.330603</v>
      </c>
      <c r="D6" s="166">
        <f t="shared" si="0"/>
        <v>11139871.469015</v>
      </c>
      <c r="E6" s="166">
        <f t="shared" si="0"/>
        <v>4294188.413582</v>
      </c>
      <c r="F6" s="166">
        <f t="shared" si="0"/>
        <v>24910278.043128997</v>
      </c>
      <c r="G6" s="166">
        <f t="shared" si="0"/>
        <v>226708.202261</v>
      </c>
      <c r="H6" s="174">
        <f t="shared" si="0"/>
        <v>43341789.671681993</v>
      </c>
      <c r="J6" s="153">
        <v>85620838.130271986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83912835.799668998</v>
      </c>
      <c r="C7" s="141">
        <f t="shared" ref="C7:H8" si="2">C10+C13</f>
        <v>0</v>
      </c>
      <c r="D7" s="141">
        <f t="shared" si="2"/>
        <v>11139871.469015</v>
      </c>
      <c r="E7" s="141">
        <f t="shared" si="2"/>
        <v>4294188.413582</v>
      </c>
      <c r="F7" s="141">
        <f t="shared" si="2"/>
        <v>24910278.043128997</v>
      </c>
      <c r="G7" s="141">
        <f t="shared" si="2"/>
        <v>226708.202261</v>
      </c>
      <c r="H7" s="141">
        <f t="shared" si="2"/>
        <v>43341789.671681993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1697715.330603</v>
      </c>
      <c r="C8" s="143">
        <f t="shared" si="2"/>
        <v>1697715.330603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36430916.573499992</v>
      </c>
      <c r="C9" s="144">
        <f t="shared" ref="C9:H9" si="3">SUM(C10:C11)</f>
        <v>0</v>
      </c>
      <c r="D9" s="144">
        <f t="shared" si="3"/>
        <v>885491.78700000001</v>
      </c>
      <c r="E9" s="144">
        <f t="shared" si="3"/>
        <v>114049</v>
      </c>
      <c r="F9" s="144">
        <f t="shared" si="3"/>
        <v>3235176.7083000005</v>
      </c>
      <c r="G9" s="144">
        <f t="shared" si="3"/>
        <v>2880</v>
      </c>
      <c r="H9" s="144">
        <f t="shared" si="3"/>
        <v>32193319.07819999</v>
      </c>
      <c r="L9" s="181" t="s">
        <v>27</v>
      </c>
      <c r="M9" s="110">
        <v>1280</v>
      </c>
      <c r="N9" s="110">
        <v>0</v>
      </c>
      <c r="O9" s="110">
        <v>3714</v>
      </c>
      <c r="P9" s="110">
        <v>5293</v>
      </c>
      <c r="Q9" s="110"/>
      <c r="R9" s="110"/>
      <c r="S9" s="182">
        <v>10287</v>
      </c>
    </row>
    <row r="10" spans="1:19" ht="18" customHeight="1" x14ac:dyDescent="0.2">
      <c r="A10" s="157" t="s">
        <v>29</v>
      </c>
      <c r="B10" s="143">
        <f t="shared" si="1"/>
        <v>36430916.573499992</v>
      </c>
      <c r="C10" s="143">
        <v>0</v>
      </c>
      <c r="D10" s="143">
        <v>885491.78700000001</v>
      </c>
      <c r="E10" s="143">
        <v>114049</v>
      </c>
      <c r="F10" s="143">
        <v>3235176.7083000005</v>
      </c>
      <c r="G10" s="143">
        <v>2880</v>
      </c>
      <c r="H10" s="143">
        <v>32193319.07819999</v>
      </c>
      <c r="L10" s="181" t="s">
        <v>1</v>
      </c>
      <c r="M10" s="183">
        <v>1280</v>
      </c>
      <c r="N10" s="183">
        <v>0</v>
      </c>
      <c r="O10" s="183">
        <v>3714</v>
      </c>
      <c r="P10" s="183">
        <v>5293</v>
      </c>
      <c r="Q10" s="183">
        <v>0</v>
      </c>
      <c r="R10" s="183">
        <v>0</v>
      </c>
      <c r="S10" s="183">
        <v>10287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49179634.556771994</v>
      </c>
      <c r="C12" s="144">
        <f t="shared" ref="C12:G12" si="4">SUM(C13:C14)</f>
        <v>1697715.330603</v>
      </c>
      <c r="D12" s="144">
        <f t="shared" si="4"/>
        <v>10254379.682015</v>
      </c>
      <c r="E12" s="144">
        <f t="shared" si="4"/>
        <v>4180139.413582</v>
      </c>
      <c r="F12" s="144">
        <f t="shared" si="4"/>
        <v>21675101.334828995</v>
      </c>
      <c r="G12" s="144">
        <f t="shared" si="4"/>
        <v>223828.202261</v>
      </c>
      <c r="H12" s="144">
        <f>SUM(H13:H14)</f>
        <v>11148470.593482001</v>
      </c>
      <c r="L12" s="185" t="s">
        <v>25</v>
      </c>
      <c r="M12" s="186">
        <v>1280</v>
      </c>
      <c r="N12" s="186">
        <v>0</v>
      </c>
      <c r="O12" s="186">
        <v>3714</v>
      </c>
      <c r="P12" s="186">
        <v>5293</v>
      </c>
      <c r="Q12" s="186">
        <v>0</v>
      </c>
      <c r="R12" s="186">
        <v>0</v>
      </c>
      <c r="S12" s="187">
        <v>10287</v>
      </c>
    </row>
    <row r="13" spans="1:19" ht="18" customHeight="1" x14ac:dyDescent="0.2">
      <c r="A13" s="157" t="s">
        <v>29</v>
      </c>
      <c r="B13" s="143">
        <f t="shared" si="1"/>
        <v>47481919.226168998</v>
      </c>
      <c r="C13" s="143">
        <v>0</v>
      </c>
      <c r="D13" s="143">
        <v>10254379.682015</v>
      </c>
      <c r="E13" s="143">
        <v>4180139.413582</v>
      </c>
      <c r="F13" s="143">
        <v>21675101.334828995</v>
      </c>
      <c r="G13" s="143">
        <v>223828.202261</v>
      </c>
      <c r="H13" s="143">
        <f>11158757.593482-10287</f>
        <v>11148470.593482001</v>
      </c>
      <c r="I13" s="117"/>
    </row>
    <row r="14" spans="1:19" ht="18" customHeight="1" x14ac:dyDescent="0.2">
      <c r="A14" s="157" t="s">
        <v>48</v>
      </c>
      <c r="B14" s="143">
        <f t="shared" si="1"/>
        <v>1697715.330603</v>
      </c>
      <c r="C14" s="143">
        <v>1697715.330603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1900.029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9.012115477</v>
      </c>
      <c r="C17" s="172">
        <f t="shared" ref="C17:H17" si="5">SUM(C18:C19)</f>
        <v>2.2255325240000001</v>
      </c>
      <c r="D17" s="172">
        <f t="shared" si="5"/>
        <v>0.20415474</v>
      </c>
      <c r="E17" s="172">
        <f t="shared" si="5"/>
        <v>0</v>
      </c>
      <c r="F17" s="172">
        <f t="shared" si="5"/>
        <v>5.8762554480000002</v>
      </c>
      <c r="G17" s="172">
        <f t="shared" si="5"/>
        <v>0.28670320900000001</v>
      </c>
      <c r="H17" s="173">
        <f t="shared" si="5"/>
        <v>0.41946955600000002</v>
      </c>
      <c r="J17" s="126">
        <v>2.2255325240000001</v>
      </c>
      <c r="K17" s="127" t="s">
        <v>57</v>
      </c>
      <c r="L17" s="128">
        <v>9.0068297630000007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6.7865829529999999</v>
      </c>
      <c r="C18" s="146">
        <v>0</v>
      </c>
      <c r="D18" s="146">
        <v>0.20415474</v>
      </c>
      <c r="E18" s="146">
        <v>0</v>
      </c>
      <c r="F18" s="146">
        <v>5.8762554480000002</v>
      </c>
      <c r="G18" s="146">
        <v>0.28670320900000001</v>
      </c>
      <c r="H18" s="146">
        <v>0.41946955600000002</v>
      </c>
      <c r="J18" s="126">
        <v>6.7812972390000006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2.2255325240000001</v>
      </c>
      <c r="C19" s="161">
        <v>2.2255325240000001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5.2857139999993308E-3</v>
      </c>
      <c r="K19" s="123" t="s">
        <v>58</v>
      </c>
      <c r="L19" s="130">
        <v>5.2857140000000004E-3</v>
      </c>
      <c r="M19" s="128">
        <f>J19-L19</f>
        <v>-6.6960326172704754E-16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16047600.995871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15096180.692911001</v>
      </c>
      <c r="C22" s="147"/>
      <c r="D22" s="148"/>
      <c r="E22" s="147"/>
      <c r="F22" s="147"/>
      <c r="G22" s="147"/>
      <c r="H22" s="147"/>
      <c r="J22" s="105">
        <f>D29</f>
        <v>15097052.692911001</v>
      </c>
      <c r="K22" s="123" t="s">
        <v>42</v>
      </c>
    </row>
    <row r="23" spans="1:14" ht="30.75" customHeight="1" x14ac:dyDescent="0.2">
      <c r="A23" s="162" t="s">
        <v>32</v>
      </c>
      <c r="B23" s="143">
        <v>349944.67995100003</v>
      </c>
      <c r="C23" s="149"/>
      <c r="D23" s="150"/>
      <c r="E23" s="151"/>
      <c r="F23" s="151"/>
      <c r="G23" s="151"/>
      <c r="H23" s="151"/>
      <c r="J23" s="105">
        <f>D34</f>
        <v>951420.30295999988</v>
      </c>
      <c r="K23" s="123" t="s">
        <v>41</v>
      </c>
    </row>
    <row r="24" spans="1:14" ht="18" customHeight="1" x14ac:dyDescent="0.2">
      <c r="A24" s="176" t="s">
        <v>14</v>
      </c>
      <c r="B24" s="143">
        <v>450298.50900899997</v>
      </c>
      <c r="C24" s="149"/>
      <c r="D24" s="150"/>
      <c r="E24" s="151"/>
      <c r="F24" s="151"/>
      <c r="G24" s="151"/>
      <c r="H24" s="151"/>
      <c r="J24" s="105">
        <v>-872</v>
      </c>
      <c r="K24" s="123" t="s">
        <v>43</v>
      </c>
    </row>
    <row r="25" spans="1:14" ht="18" customHeight="1" x14ac:dyDescent="0.2">
      <c r="A25" s="157" t="s">
        <v>10</v>
      </c>
      <c r="B25" s="143">
        <v>114003.94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4" ht="18" customHeight="1" x14ac:dyDescent="0.2">
      <c r="A26" s="157" t="s">
        <v>12</v>
      </c>
      <c r="B26" s="143">
        <v>37173.173999999999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15097052.692910993</v>
      </c>
      <c r="C29" s="105">
        <f>B22-B29-J24</f>
        <v>7.4505805969238281E-9</v>
      </c>
      <c r="D29" s="138">
        <v>15097052.692911001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349944.67995099997</v>
      </c>
      <c r="C30" s="105">
        <f>B23-B30</f>
        <v>0</v>
      </c>
      <c r="D30" s="138">
        <v>349944.67995100003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450298.50900899956</v>
      </c>
      <c r="C31" s="105">
        <f>B24-B31</f>
        <v>0</v>
      </c>
      <c r="D31" s="138">
        <v>450298.50900899997</v>
      </c>
      <c r="E31" s="105">
        <f>B31-D31</f>
        <v>0</v>
      </c>
    </row>
    <row r="32" spans="1:14" hidden="1" x14ac:dyDescent="0.2">
      <c r="A32" s="188" t="s">
        <v>10</v>
      </c>
      <c r="B32" s="105">
        <v>114003.93999999997</v>
      </c>
      <c r="C32" s="105">
        <f>B25-B32</f>
        <v>0</v>
      </c>
      <c r="D32" s="138">
        <v>114003.94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37173.17399999997</v>
      </c>
      <c r="C33" s="105">
        <f>B26-B33</f>
        <v>0</v>
      </c>
      <c r="D33" s="138">
        <v>37173.173999999999</v>
      </c>
      <c r="E33" s="105">
        <f>B33-D33</f>
        <v>0</v>
      </c>
    </row>
    <row r="34" spans="1:5" hidden="1" x14ac:dyDescent="0.2">
      <c r="B34" s="105">
        <f>SUM(B30:B33)</f>
        <v>951420.30295999942</v>
      </c>
      <c r="C34" s="105">
        <f>SUM(C29:C33)</f>
        <v>7.4505805969238281E-9</v>
      </c>
      <c r="D34" s="138">
        <f>SUM(D30:D33)</f>
        <v>951420.30295999988</v>
      </c>
      <c r="E34" s="105">
        <f>SUM(E29:E33)</f>
        <v>0</v>
      </c>
    </row>
    <row r="35" spans="1:5" hidden="1" x14ac:dyDescent="0.2">
      <c r="B35" s="139">
        <f>B34+B29+J24-B22</f>
        <v>951420.30295999162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2025-11-12T05:31:43Z</dcterms:modified>
</cp:coreProperties>
</file>